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D54DACC1-16C7-4C8F-87BB-1ED84E31EE4B}" xr6:coauthVersionLast="47" xr6:coauthVersionMax="47" xr10:uidLastSave="{00000000-0000-0000-0000-000000000000}"/>
  <bookViews>
    <workbookView xWindow="-120" yWindow="-120" windowWidth="29040" windowHeight="15840" firstSheet="2" activeTab="2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Comprobación'!$A$11:$Y$172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Comprobación'!$C$5:$F$171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C36" i="3" l="1"/>
  <c r="D25" i="1" l="1"/>
  <c r="H6" i="1"/>
  <c r="D68" i="1"/>
  <c r="D112" i="1"/>
  <c r="D49" i="1"/>
  <c r="C20" i="3" l="1"/>
  <c r="H11" i="4"/>
  <c r="H8" i="4"/>
  <c r="F16" i="2" l="1"/>
  <c r="C18" i="3" l="1"/>
  <c r="C17" i="3"/>
  <c r="C14" i="3"/>
  <c r="F18" i="2"/>
  <c r="F17" i="2"/>
  <c r="F15" i="2"/>
  <c r="I142" i="1"/>
  <c r="I74" i="1"/>
  <c r="I73" i="1"/>
  <c r="F10" i="2" l="1"/>
  <c r="F24" i="1" l="1"/>
  <c r="F9" i="2" l="1"/>
  <c r="G27" i="1" l="1"/>
  <c r="J12" i="7"/>
  <c r="J10" i="7"/>
  <c r="I13" i="7"/>
  <c r="H13" i="7"/>
  <c r="H11" i="7"/>
  <c r="F27" i="1"/>
  <c r="F26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8" i="1"/>
  <c r="W187" i="1"/>
  <c r="W186" i="1"/>
  <c r="W185" i="1"/>
  <c r="W184" i="1"/>
  <c r="W183" i="1"/>
  <c r="W182" i="1"/>
  <c r="W181" i="1"/>
  <c r="J181" i="1"/>
  <c r="W180" i="1"/>
  <c r="J180" i="1"/>
  <c r="W179" i="1"/>
  <c r="J179" i="1"/>
  <c r="W178" i="1"/>
  <c r="J178" i="1"/>
  <c r="W177" i="1"/>
  <c r="J177" i="1"/>
  <c r="W176" i="1"/>
  <c r="J176" i="1"/>
  <c r="F176" i="1"/>
  <c r="E176" i="1"/>
  <c r="W175" i="1"/>
  <c r="J175" i="1"/>
  <c r="W174" i="1"/>
  <c r="J174" i="1"/>
  <c r="W173" i="1"/>
  <c r="U173" i="1"/>
  <c r="J173" i="1"/>
  <c r="K172" i="1"/>
  <c r="K2" i="1" s="1"/>
  <c r="J172" i="1"/>
  <c r="U171" i="1"/>
  <c r="J171" i="1"/>
  <c r="F171" i="1"/>
  <c r="F3" i="1" s="1"/>
  <c r="M170" i="1"/>
  <c r="J170" i="1"/>
  <c r="I170" i="1"/>
  <c r="E170" i="1"/>
  <c r="M169" i="1"/>
  <c r="J169" i="1"/>
  <c r="I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U163" i="1"/>
  <c r="M163" i="1"/>
  <c r="J163" i="1"/>
  <c r="M162" i="1"/>
  <c r="J162" i="1"/>
  <c r="U161" i="1"/>
  <c r="M161" i="1"/>
  <c r="J161" i="1"/>
  <c r="AA160" i="1"/>
  <c r="M160" i="1"/>
  <c r="J160" i="1"/>
  <c r="I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AA150" i="1"/>
  <c r="M150" i="1"/>
  <c r="J150" i="1"/>
  <c r="I150" i="1"/>
  <c r="AA149" i="1"/>
  <c r="M149" i="1"/>
  <c r="J149" i="1"/>
  <c r="I149" i="1"/>
  <c r="AA148" i="1"/>
  <c r="M148" i="1"/>
  <c r="J148" i="1"/>
  <c r="I148" i="1"/>
  <c r="AA147" i="1"/>
  <c r="M147" i="1"/>
  <c r="J147" i="1"/>
  <c r="AA146" i="1"/>
  <c r="M146" i="1"/>
  <c r="J146" i="1"/>
  <c r="I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1" i="1"/>
  <c r="M141" i="1"/>
  <c r="J141" i="1"/>
  <c r="I141" i="1"/>
  <c r="AA140" i="1"/>
  <c r="M140" i="1"/>
  <c r="J140" i="1"/>
  <c r="I140" i="1"/>
  <c r="AA139" i="1"/>
  <c r="M139" i="1"/>
  <c r="N139" i="1" s="1"/>
  <c r="W139" i="1" s="1"/>
  <c r="AA138" i="1"/>
  <c r="M138" i="1"/>
  <c r="J138" i="1"/>
  <c r="I138" i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N129" i="1" s="1"/>
  <c r="O129" i="1" s="1"/>
  <c r="AA128" i="1"/>
  <c r="M128" i="1"/>
  <c r="J128" i="1"/>
  <c r="I128" i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N123" i="1" s="1"/>
  <c r="AA122" i="1"/>
  <c r="M122" i="1"/>
  <c r="J122" i="1"/>
  <c r="I122" i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N118" i="1" s="1"/>
  <c r="AA117" i="1"/>
  <c r="M117" i="1"/>
  <c r="J117" i="1"/>
  <c r="I117" i="1"/>
  <c r="AA116" i="1"/>
  <c r="M116" i="1"/>
  <c r="J116" i="1"/>
  <c r="I116" i="1"/>
  <c r="AA115" i="1"/>
  <c r="M115" i="1"/>
  <c r="J115" i="1"/>
  <c r="I115" i="1"/>
  <c r="AA114" i="1"/>
  <c r="M114" i="1"/>
  <c r="N114" i="1" s="1"/>
  <c r="AA113" i="1"/>
  <c r="M113" i="1"/>
  <c r="J113" i="1"/>
  <c r="I113" i="1"/>
  <c r="AA112" i="1"/>
  <c r="M112" i="1"/>
  <c r="J112" i="1"/>
  <c r="I112" i="1"/>
  <c r="AA111" i="1"/>
  <c r="M111" i="1"/>
  <c r="N111" i="1" s="1"/>
  <c r="AA110" i="1"/>
  <c r="M110" i="1"/>
  <c r="N110" i="1" s="1"/>
  <c r="O110" i="1" s="1"/>
  <c r="W110" i="1" s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N98" i="1" s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N91" i="1" s="1"/>
  <c r="P91" i="1" s="1"/>
  <c r="M90" i="1"/>
  <c r="J90" i="1"/>
  <c r="I90" i="1"/>
  <c r="M89" i="1"/>
  <c r="J89" i="1"/>
  <c r="I89" i="1"/>
  <c r="M88" i="1"/>
  <c r="N88" i="1" s="1"/>
  <c r="M87" i="1"/>
  <c r="J87" i="1"/>
  <c r="I87" i="1"/>
  <c r="M86" i="1"/>
  <c r="J86" i="1"/>
  <c r="I86" i="1"/>
  <c r="M85" i="1"/>
  <c r="J85" i="1"/>
  <c r="I85" i="1"/>
  <c r="M84" i="1"/>
  <c r="N84" i="1" s="1"/>
  <c r="O84" i="1" s="1"/>
  <c r="Y84" i="1" s="1"/>
  <c r="M83" i="1"/>
  <c r="J83" i="1"/>
  <c r="I83" i="1"/>
  <c r="M82" i="1"/>
  <c r="J82" i="1"/>
  <c r="I82" i="1"/>
  <c r="M81" i="1"/>
  <c r="N81" i="1" s="1"/>
  <c r="O81" i="1" s="1"/>
  <c r="Y81" i="1" s="1"/>
  <c r="M80" i="1"/>
  <c r="J80" i="1"/>
  <c r="I80" i="1"/>
  <c r="M79" i="1"/>
  <c r="J79" i="1"/>
  <c r="I79" i="1"/>
  <c r="M78" i="1"/>
  <c r="N78" i="1" s="1"/>
  <c r="O78" i="1" s="1"/>
  <c r="Y78" i="1" s="1"/>
  <c r="M77" i="1"/>
  <c r="J77" i="1"/>
  <c r="I77" i="1"/>
  <c r="M76" i="1"/>
  <c r="J76" i="1"/>
  <c r="I76" i="1"/>
  <c r="M75" i="1"/>
  <c r="N75" i="1" s="1"/>
  <c r="O75" i="1" s="1"/>
  <c r="Y75" i="1" s="1"/>
  <c r="M72" i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N67" i="1" s="1"/>
  <c r="M66" i="1"/>
  <c r="N66" i="1" s="1"/>
  <c r="M65" i="1"/>
  <c r="J65" i="1"/>
  <c r="I65" i="1"/>
  <c r="M64" i="1"/>
  <c r="J64" i="1"/>
  <c r="I64" i="1"/>
  <c r="M63" i="1"/>
  <c r="J63" i="1"/>
  <c r="I63" i="1"/>
  <c r="M62" i="1"/>
  <c r="N62" i="1" s="1"/>
  <c r="M61" i="1"/>
  <c r="J61" i="1"/>
  <c r="I61" i="1"/>
  <c r="M60" i="1"/>
  <c r="N60" i="1" s="1"/>
  <c r="M59" i="1"/>
  <c r="J59" i="1"/>
  <c r="I59" i="1"/>
  <c r="M58" i="1"/>
  <c r="J58" i="1"/>
  <c r="I58" i="1"/>
  <c r="M56" i="1"/>
  <c r="J56" i="1"/>
  <c r="I56" i="1"/>
  <c r="M55" i="1"/>
  <c r="N55" i="1" s="1"/>
  <c r="P55" i="1" s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N48" i="1"/>
  <c r="N47" i="1"/>
  <c r="P47" i="1" s="1"/>
  <c r="N46" i="1"/>
  <c r="T46" i="1" s="1"/>
  <c r="Y46" i="1" s="1"/>
  <c r="M45" i="1"/>
  <c r="N45" i="1" s="1"/>
  <c r="P45" i="1" s="1"/>
  <c r="J44" i="1"/>
  <c r="N44" i="1" s="1"/>
  <c r="P44" i="1" s="1"/>
  <c r="I44" i="1"/>
  <c r="M42" i="1"/>
  <c r="J42" i="1"/>
  <c r="M41" i="1"/>
  <c r="J41" i="1"/>
  <c r="J40" i="1"/>
  <c r="N40" i="1" s="1"/>
  <c r="J39" i="1"/>
  <c r="N39" i="1" s="1"/>
  <c r="P39" i="1" s="1"/>
  <c r="J38" i="1"/>
  <c r="N38" i="1" s="1"/>
  <c r="P38" i="1" s="1"/>
  <c r="I38" i="1"/>
  <c r="M37" i="1"/>
  <c r="I37" i="1"/>
  <c r="M36" i="1"/>
  <c r="I36" i="1"/>
  <c r="D36" i="1"/>
  <c r="J36" i="1" s="1"/>
  <c r="M35" i="1"/>
  <c r="D35" i="1"/>
  <c r="J35" i="1" s="1"/>
  <c r="N34" i="1"/>
  <c r="T34" i="1" s="1"/>
  <c r="N33" i="1"/>
  <c r="T33" i="1" s="1"/>
  <c r="G33" i="1"/>
  <c r="M32" i="1"/>
  <c r="J32" i="1"/>
  <c r="I32" i="1"/>
  <c r="G32" i="1"/>
  <c r="J31" i="1"/>
  <c r="N31" i="1" s="1"/>
  <c r="T31" i="1" s="1"/>
  <c r="I31" i="1"/>
  <c r="G31" i="1"/>
  <c r="N30" i="1"/>
  <c r="N29" i="1"/>
  <c r="T29" i="1" s="1"/>
  <c r="J28" i="1"/>
  <c r="N28" i="1" s="1"/>
  <c r="I28" i="1"/>
  <c r="J27" i="1"/>
  <c r="N27" i="1" s="1"/>
  <c r="P27" i="1" s="1"/>
  <c r="I27" i="1"/>
  <c r="Q26" i="1"/>
  <c r="M26" i="1"/>
  <c r="J26" i="1"/>
  <c r="I26" i="1"/>
  <c r="M25" i="1"/>
  <c r="J25" i="1"/>
  <c r="I25" i="1"/>
  <c r="Q24" i="1"/>
  <c r="J24" i="1"/>
  <c r="N24" i="1" s="1"/>
  <c r="O24" i="1" s="1"/>
  <c r="W24" i="1" s="1"/>
  <c r="M23" i="1"/>
  <c r="J23" i="1"/>
  <c r="I23" i="1"/>
  <c r="J22" i="1"/>
  <c r="N22" i="1" s="1"/>
  <c r="I22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7" i="1" l="1"/>
  <c r="J37" i="1" s="1"/>
  <c r="N37" i="1" s="1"/>
  <c r="P37" i="1" s="1"/>
  <c r="L3" i="1"/>
  <c r="N149" i="1"/>
  <c r="W149" i="1" s="1"/>
  <c r="N92" i="1"/>
  <c r="W92" i="1" s="1"/>
  <c r="N96" i="1"/>
  <c r="P96" i="1" s="1"/>
  <c r="N102" i="1"/>
  <c r="P102" i="1" s="1"/>
  <c r="N106" i="1"/>
  <c r="O106" i="1" s="1"/>
  <c r="W106" i="1" s="1"/>
  <c r="Y106" i="1" s="1"/>
  <c r="N112" i="1"/>
  <c r="W112" i="1" s="1"/>
  <c r="N113" i="1"/>
  <c r="P113" i="1" s="1"/>
  <c r="N32" i="1"/>
  <c r="O32" i="1" s="1"/>
  <c r="N83" i="1"/>
  <c r="O83" i="1" s="1"/>
  <c r="W83" i="1" s="1"/>
  <c r="Y83" i="1" s="1"/>
  <c r="N143" i="1"/>
  <c r="W143" i="1" s="1"/>
  <c r="N169" i="1"/>
  <c r="X169" i="1" s="1"/>
  <c r="Y173" i="1"/>
  <c r="N144" i="1"/>
  <c r="W144" i="1" s="1"/>
  <c r="N87" i="1"/>
  <c r="O87" i="1" s="1"/>
  <c r="W87" i="1" s="1"/>
  <c r="Y87" i="1" s="1"/>
  <c r="N64" i="1"/>
  <c r="O64" i="1" s="1"/>
  <c r="V64" i="1" s="1"/>
  <c r="N86" i="1"/>
  <c r="P86" i="1" s="1"/>
  <c r="N100" i="1"/>
  <c r="P100" i="1" s="1"/>
  <c r="N104" i="1"/>
  <c r="P104" i="1" s="1"/>
  <c r="N124" i="1"/>
  <c r="O124" i="1" s="1"/>
  <c r="S124" i="1" s="1"/>
  <c r="N125" i="1"/>
  <c r="W125" i="1" s="1"/>
  <c r="N126" i="1"/>
  <c r="O126" i="1" s="1"/>
  <c r="N140" i="1"/>
  <c r="W140" i="1" s="1"/>
  <c r="N141" i="1"/>
  <c r="W141" i="1" s="1"/>
  <c r="N147" i="1"/>
  <c r="O147" i="1" s="1"/>
  <c r="N148" i="1"/>
  <c r="N153" i="1"/>
  <c r="W153" i="1" s="1"/>
  <c r="N156" i="1"/>
  <c r="W156" i="1" s="1"/>
  <c r="N157" i="1"/>
  <c r="W157" i="1" s="1"/>
  <c r="N163" i="1"/>
  <c r="X163" i="1" s="1"/>
  <c r="N164" i="1"/>
  <c r="X164" i="1" s="1"/>
  <c r="N172" i="1"/>
  <c r="O172" i="1" s="1"/>
  <c r="Y172" i="1" s="1"/>
  <c r="N122" i="1"/>
  <c r="O122" i="1" s="1"/>
  <c r="U122" i="1" s="1"/>
  <c r="N132" i="1"/>
  <c r="O132" i="1" s="1"/>
  <c r="P87" i="1"/>
  <c r="S87" i="1" s="1"/>
  <c r="N136" i="1"/>
  <c r="W136" i="1" s="1"/>
  <c r="N50" i="1"/>
  <c r="P50" i="1" s="1"/>
  <c r="N56" i="1"/>
  <c r="O56" i="1" s="1"/>
  <c r="U56" i="1" s="1"/>
  <c r="Y56" i="1" s="1"/>
  <c r="N65" i="1"/>
  <c r="O65" i="1" s="1"/>
  <c r="V65" i="1" s="1"/>
  <c r="N80" i="1"/>
  <c r="P80" i="1" s="1"/>
  <c r="N82" i="1"/>
  <c r="O82" i="1" s="1"/>
  <c r="W82" i="1" s="1"/>
  <c r="Y82" i="1" s="1"/>
  <c r="N93" i="1"/>
  <c r="P93" i="1" s="1"/>
  <c r="N97" i="1"/>
  <c r="O97" i="1" s="1"/>
  <c r="W97" i="1" s="1"/>
  <c r="Y97" i="1" s="1"/>
  <c r="N99" i="1"/>
  <c r="P99" i="1" s="1"/>
  <c r="N107" i="1"/>
  <c r="P107" i="1" s="1"/>
  <c r="N137" i="1"/>
  <c r="W137" i="1" s="1"/>
  <c r="N70" i="1"/>
  <c r="P70" i="1" s="1"/>
  <c r="N35" i="1"/>
  <c r="O35" i="1" s="1"/>
  <c r="N52" i="1"/>
  <c r="O52" i="1" s="1"/>
  <c r="U52" i="1" s="1"/>
  <c r="N59" i="1"/>
  <c r="O59" i="1" s="1"/>
  <c r="U59" i="1" s="1"/>
  <c r="Y59" i="1" s="1"/>
  <c r="N69" i="1"/>
  <c r="O69" i="1" s="1"/>
  <c r="W69" i="1" s="1"/>
  <c r="Y69" i="1" s="1"/>
  <c r="N72" i="1"/>
  <c r="P72" i="1" s="1"/>
  <c r="N79" i="1"/>
  <c r="O79" i="1" s="1"/>
  <c r="W79" i="1" s="1"/>
  <c r="Y79" i="1" s="1"/>
  <c r="P83" i="1"/>
  <c r="S83" i="1" s="1"/>
  <c r="N89" i="1"/>
  <c r="O89" i="1" s="1"/>
  <c r="W89" i="1" s="1"/>
  <c r="Y89" i="1" s="1"/>
  <c r="N120" i="1"/>
  <c r="O120" i="1" s="1"/>
  <c r="N121" i="1"/>
  <c r="P121" i="1" s="1"/>
  <c r="N131" i="1"/>
  <c r="W131" i="1" s="1"/>
  <c r="N133" i="1"/>
  <c r="O133" i="1" s="1"/>
  <c r="S133" i="1" s="1"/>
  <c r="N135" i="1"/>
  <c r="O135" i="1" s="1"/>
  <c r="N145" i="1"/>
  <c r="O145" i="1" s="1"/>
  <c r="N146" i="1"/>
  <c r="O146" i="1" s="1"/>
  <c r="T27" i="1"/>
  <c r="P46" i="1"/>
  <c r="S46" i="1" s="1"/>
  <c r="N53" i="1"/>
  <c r="O53" i="1" s="1"/>
  <c r="S17" i="1"/>
  <c r="N41" i="1"/>
  <c r="P41" i="1" s="1"/>
  <c r="N51" i="1"/>
  <c r="P51" i="1" s="1"/>
  <c r="P52" i="1"/>
  <c r="N23" i="1"/>
  <c r="O23" i="1" s="1"/>
  <c r="S23" i="1" s="1"/>
  <c r="N42" i="1"/>
  <c r="T42" i="1" s="1"/>
  <c r="N49" i="1"/>
  <c r="U49" i="1" s="1"/>
  <c r="N54" i="1"/>
  <c r="N58" i="1"/>
  <c r="O58" i="1" s="1"/>
  <c r="N61" i="1"/>
  <c r="P61" i="1" s="1"/>
  <c r="N63" i="1"/>
  <c r="V63" i="1" s="1"/>
  <c r="N68" i="1"/>
  <c r="N71" i="1"/>
  <c r="O71" i="1" s="1"/>
  <c r="W71" i="1" s="1"/>
  <c r="Y71" i="1" s="1"/>
  <c r="N76" i="1"/>
  <c r="N77" i="1"/>
  <c r="P82" i="1"/>
  <c r="S82" i="1" s="1"/>
  <c r="N85" i="1"/>
  <c r="O85" i="1" s="1"/>
  <c r="W85" i="1" s="1"/>
  <c r="Y85" i="1" s="1"/>
  <c r="N90" i="1"/>
  <c r="P90" i="1" s="1"/>
  <c r="O91" i="1"/>
  <c r="S91" i="1" s="1"/>
  <c r="W129" i="1"/>
  <c r="Y129" i="1" s="1"/>
  <c r="N154" i="1"/>
  <c r="W154" i="1" s="1"/>
  <c r="N160" i="1"/>
  <c r="W160" i="1" s="1"/>
  <c r="N165" i="1"/>
  <c r="W165" i="1" s="1"/>
  <c r="N105" i="1"/>
  <c r="P105" i="1" s="1"/>
  <c r="N109" i="1"/>
  <c r="P109" i="1" s="1"/>
  <c r="N115" i="1"/>
  <c r="P115" i="1" s="1"/>
  <c r="N117" i="1"/>
  <c r="O117" i="1" s="1"/>
  <c r="U117" i="1" s="1"/>
  <c r="N151" i="1"/>
  <c r="O151" i="1" s="1"/>
  <c r="N152" i="1"/>
  <c r="O152" i="1" s="1"/>
  <c r="N170" i="1"/>
  <c r="O170" i="1" s="1"/>
  <c r="S170" i="1" s="1"/>
  <c r="N158" i="1"/>
  <c r="O158" i="1" s="1"/>
  <c r="N159" i="1"/>
  <c r="N162" i="1"/>
  <c r="O162" i="1" s="1"/>
  <c r="S162" i="1" s="1"/>
  <c r="N166" i="1"/>
  <c r="X166" i="1" s="1"/>
  <c r="N26" i="1"/>
  <c r="T26" i="1" s="1"/>
  <c r="K34" i="2"/>
  <c r="Q2" i="1"/>
  <c r="N25" i="1"/>
  <c r="T25" i="1" s="1"/>
  <c r="M2" i="1"/>
  <c r="N36" i="1"/>
  <c r="O36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7" i="1"/>
  <c r="O167" i="1" s="1"/>
  <c r="S167" i="1" s="1"/>
  <c r="N127" i="1"/>
  <c r="O127" i="1" s="1"/>
  <c r="N116" i="1"/>
  <c r="P116" i="1" s="1"/>
  <c r="N128" i="1"/>
  <c r="O128" i="1" s="1"/>
  <c r="N101" i="1"/>
  <c r="P101" i="1" s="1"/>
  <c r="N95" i="1"/>
  <c r="P95" i="1" s="1"/>
  <c r="N94" i="1"/>
  <c r="P94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40" i="1"/>
  <c r="O40" i="1"/>
  <c r="T40" i="1"/>
  <c r="O22" i="1"/>
  <c r="S22" i="1" s="1"/>
  <c r="T22" i="1"/>
  <c r="P28" i="1"/>
  <c r="T28" i="1"/>
  <c r="O60" i="1"/>
  <c r="Y60" i="1" s="1"/>
  <c r="P60" i="1"/>
  <c r="S27" i="1"/>
  <c r="O44" i="1"/>
  <c r="O55" i="1"/>
  <c r="S55" i="1" s="1"/>
  <c r="P62" i="1"/>
  <c r="P66" i="1"/>
  <c r="S24" i="1"/>
  <c r="P31" i="1"/>
  <c r="T45" i="1"/>
  <c r="Y45" i="1" s="1"/>
  <c r="P48" i="1"/>
  <c r="S48" i="1" s="1"/>
  <c r="O62" i="1"/>
  <c r="O67" i="1"/>
  <c r="Y67" i="1" s="1"/>
  <c r="P88" i="1"/>
  <c r="N16" i="1"/>
  <c r="S20" i="1"/>
  <c r="T24" i="1"/>
  <c r="Y24" i="1" s="1"/>
  <c r="P29" i="1"/>
  <c r="S29" i="1" s="1"/>
  <c r="O31" i="1"/>
  <c r="Y31" i="1" s="1"/>
  <c r="P34" i="1"/>
  <c r="S34" i="1" s="1"/>
  <c r="O38" i="1"/>
  <c r="S38" i="1" s="1"/>
  <c r="T38" i="1"/>
  <c r="S39" i="1"/>
  <c r="T39" i="1"/>
  <c r="T47" i="1"/>
  <c r="Y47" i="1" s="1"/>
  <c r="S47" i="1"/>
  <c r="T48" i="1"/>
  <c r="Y48" i="1" s="1"/>
  <c r="P67" i="1"/>
  <c r="P75" i="1"/>
  <c r="S75" i="1" s="1"/>
  <c r="O80" i="1"/>
  <c r="S80" i="1" s="1"/>
  <c r="P81" i="1"/>
  <c r="S81" i="1" s="1"/>
  <c r="O88" i="1"/>
  <c r="Y88" i="1" s="1"/>
  <c r="P98" i="1"/>
  <c r="O98" i="1"/>
  <c r="Y98" i="1" s="1"/>
  <c r="P30" i="1"/>
  <c r="S30" i="1" s="1"/>
  <c r="P33" i="1"/>
  <c r="S33" i="1" s="1"/>
  <c r="S45" i="1"/>
  <c r="P78" i="1"/>
  <c r="S78" i="1" s="1"/>
  <c r="P84" i="1"/>
  <c r="S84" i="1" s="1"/>
  <c r="O102" i="1"/>
  <c r="P118" i="1"/>
  <c r="O118" i="1"/>
  <c r="W118" i="1"/>
  <c r="T44" i="1"/>
  <c r="T55" i="1"/>
  <c r="T30" i="1"/>
  <c r="O66" i="1"/>
  <c r="N103" i="1"/>
  <c r="N108" i="1"/>
  <c r="P110" i="1"/>
  <c r="S110" i="1" s="1"/>
  <c r="N119" i="1"/>
  <c r="O111" i="1"/>
  <c r="O114" i="1"/>
  <c r="W114" i="1"/>
  <c r="O123" i="1"/>
  <c r="N130" i="1"/>
  <c r="N138" i="1"/>
  <c r="O139" i="1"/>
  <c r="Y139" i="1" s="1"/>
  <c r="N150" i="1"/>
  <c r="N155" i="1"/>
  <c r="P111" i="1"/>
  <c r="P114" i="1"/>
  <c r="W123" i="1"/>
  <c r="W148" i="1"/>
  <c r="Y110" i="1"/>
  <c r="S129" i="1"/>
  <c r="O148" i="1"/>
  <c r="S148" i="1" s="1"/>
  <c r="N134" i="1"/>
  <c r="N161" i="1"/>
  <c r="W163" i="1"/>
  <c r="W147" i="1" l="1"/>
  <c r="S172" i="1"/>
  <c r="P32" i="1"/>
  <c r="O92" i="1"/>
  <c r="Y92" i="1" s="1"/>
  <c r="O144" i="1"/>
  <c r="Y144" i="1" s="1"/>
  <c r="W126" i="1"/>
  <c r="W162" i="1"/>
  <c r="O149" i="1"/>
  <c r="Y149" i="1" s="1"/>
  <c r="O107" i="1"/>
  <c r="W107" i="1" s="1"/>
  <c r="Y107" i="1" s="1"/>
  <c r="P56" i="1"/>
  <c r="S56" i="1" s="1"/>
  <c r="G20" i="4"/>
  <c r="H19" i="4"/>
  <c r="O113" i="1"/>
  <c r="W135" i="1"/>
  <c r="Y135" i="1" s="1"/>
  <c r="O165" i="1"/>
  <c r="S165" i="1" s="1"/>
  <c r="W169" i="1"/>
  <c r="Y91" i="1"/>
  <c r="O136" i="1"/>
  <c r="W124" i="1"/>
  <c r="Y124" i="1" s="1"/>
  <c r="W113" i="1"/>
  <c r="Y113" i="1" s="1"/>
  <c r="O72" i="1"/>
  <c r="W72" i="1" s="1"/>
  <c r="Y72" i="1" s="1"/>
  <c r="O141" i="1"/>
  <c r="Y141" i="1" s="1"/>
  <c r="O160" i="1"/>
  <c r="U160" i="1" s="1"/>
  <c r="Y160" i="1" s="1"/>
  <c r="O169" i="1"/>
  <c r="U169" i="1" s="1"/>
  <c r="Y169" i="1" s="1"/>
  <c r="W120" i="1"/>
  <c r="P120" i="1"/>
  <c r="O156" i="1"/>
  <c r="Y156" i="1" s="1"/>
  <c r="W127" i="1"/>
  <c r="Y127" i="1" s="1"/>
  <c r="O96" i="1"/>
  <c r="S96" i="1" s="1"/>
  <c r="O140" i="1"/>
  <c r="S140" i="1" s="1"/>
  <c r="O164" i="1"/>
  <c r="S164" i="1" s="1"/>
  <c r="O153" i="1"/>
  <c r="Y153" i="1" s="1"/>
  <c r="O143" i="1"/>
  <c r="P106" i="1"/>
  <c r="S106" i="1" s="1"/>
  <c r="W164" i="1"/>
  <c r="O90" i="1"/>
  <c r="S90" i="1" s="1"/>
  <c r="P97" i="1"/>
  <c r="S97" i="1" s="1"/>
  <c r="P42" i="1"/>
  <c r="T23" i="1"/>
  <c r="O112" i="1"/>
  <c r="Y112" i="1" s="1"/>
  <c r="W152" i="1"/>
  <c r="Y152" i="1" s="1"/>
  <c r="O125" i="1"/>
  <c r="Y125" i="1" s="1"/>
  <c r="O104" i="1"/>
  <c r="W104" i="1" s="1"/>
  <c r="Y104" i="1" s="1"/>
  <c r="P112" i="1"/>
  <c r="O95" i="1"/>
  <c r="W95" i="1" s="1"/>
  <c r="Y95" i="1" s="1"/>
  <c r="T32" i="1"/>
  <c r="P92" i="1"/>
  <c r="S92" i="1" s="1"/>
  <c r="T41" i="1"/>
  <c r="U64" i="1"/>
  <c r="Y64" i="1" s="1"/>
  <c r="S152" i="1"/>
  <c r="S145" i="1"/>
  <c r="S122" i="1"/>
  <c r="O154" i="1"/>
  <c r="Y154" i="1" s="1"/>
  <c r="O116" i="1"/>
  <c r="S116" i="1" s="1"/>
  <c r="O86" i="1"/>
  <c r="W86" i="1" s="1"/>
  <c r="Y86" i="1" s="1"/>
  <c r="W122" i="1"/>
  <c r="Y122" i="1" s="1"/>
  <c r="Y143" i="1"/>
  <c r="O157" i="1"/>
  <c r="S157" i="1" s="1"/>
  <c r="P117" i="1"/>
  <c r="S117" i="1" s="1"/>
  <c r="X165" i="1"/>
  <c r="W145" i="1"/>
  <c r="Y145" i="1" s="1"/>
  <c r="O70" i="1"/>
  <c r="W70" i="1" s="1"/>
  <c r="P79" i="1"/>
  <c r="S79" i="1" s="1"/>
  <c r="W158" i="1"/>
  <c r="Y158" i="1" s="1"/>
  <c r="O121" i="1"/>
  <c r="O101" i="1"/>
  <c r="S101" i="1" s="1"/>
  <c r="T52" i="1"/>
  <c r="Y52" i="1" s="1"/>
  <c r="W117" i="1"/>
  <c r="W121" i="1"/>
  <c r="O99" i="1"/>
  <c r="S99" i="1" s="1"/>
  <c r="O100" i="1"/>
  <c r="S100" i="1" s="1"/>
  <c r="P85" i="1"/>
  <c r="S85" i="1" s="1"/>
  <c r="P64" i="1"/>
  <c r="S64" i="1" s="1"/>
  <c r="P35" i="1"/>
  <c r="S35" i="1" s="1"/>
  <c r="O41" i="1"/>
  <c r="S41" i="1" s="1"/>
  <c r="S132" i="1"/>
  <c r="O105" i="1"/>
  <c r="S105" i="1" s="1"/>
  <c r="W133" i="1"/>
  <c r="Y133" i="1" s="1"/>
  <c r="S66" i="1"/>
  <c r="P69" i="1"/>
  <c r="S69" i="1" s="1"/>
  <c r="U65" i="1"/>
  <c r="Y65" i="1" s="1"/>
  <c r="P58" i="1"/>
  <c r="S58" i="1" s="1"/>
  <c r="W132" i="1"/>
  <c r="Y132" i="1" s="1"/>
  <c r="W146" i="1"/>
  <c r="Y146" i="1" s="1"/>
  <c r="O93" i="1"/>
  <c r="S93" i="1" s="1"/>
  <c r="W128" i="1"/>
  <c r="T50" i="1"/>
  <c r="S52" i="1"/>
  <c r="P71" i="1"/>
  <c r="S71" i="1" s="1"/>
  <c r="O50" i="1"/>
  <c r="S50" i="1" s="1"/>
  <c r="P65" i="1"/>
  <c r="S65" i="1" s="1"/>
  <c r="P89" i="1"/>
  <c r="S89" i="1" s="1"/>
  <c r="P53" i="1"/>
  <c r="S53" i="1" s="1"/>
  <c r="O51" i="1"/>
  <c r="S51" i="1" s="1"/>
  <c r="O49" i="1"/>
  <c r="T35" i="1"/>
  <c r="T49" i="1"/>
  <c r="Y128" i="1"/>
  <c r="S146" i="1"/>
  <c r="O137" i="1"/>
  <c r="Y137" i="1" s="1"/>
  <c r="W115" i="1"/>
  <c r="O42" i="1"/>
  <c r="T51" i="1"/>
  <c r="S141" i="1"/>
  <c r="O131" i="1"/>
  <c r="S131" i="1" s="1"/>
  <c r="P59" i="1"/>
  <c r="S59" i="1" s="1"/>
  <c r="Y123" i="1"/>
  <c r="S120" i="1"/>
  <c r="S62" i="1"/>
  <c r="Y44" i="1"/>
  <c r="S158" i="1"/>
  <c r="W159" i="1"/>
  <c r="O159" i="1"/>
  <c r="U159" i="1" s="1"/>
  <c r="P77" i="1"/>
  <c r="O77" i="1"/>
  <c r="P54" i="1"/>
  <c r="O54" i="1"/>
  <c r="U54" i="1" s="1"/>
  <c r="S114" i="1"/>
  <c r="S149" i="1"/>
  <c r="O94" i="1"/>
  <c r="W94" i="1" s="1"/>
  <c r="Y94" i="1" s="1"/>
  <c r="O76" i="1"/>
  <c r="W76" i="1" s="1"/>
  <c r="Y76" i="1" s="1"/>
  <c r="P76" i="1"/>
  <c r="S151" i="1"/>
  <c r="Y126" i="1"/>
  <c r="S139" i="1"/>
  <c r="O115" i="1"/>
  <c r="S115" i="1" s="1"/>
  <c r="O63" i="1"/>
  <c r="Y63" i="1" s="1"/>
  <c r="P49" i="1"/>
  <c r="T53" i="1"/>
  <c r="V2" i="1"/>
  <c r="O61" i="1"/>
  <c r="S61" i="1" s="1"/>
  <c r="Y117" i="1"/>
  <c r="W166" i="1"/>
  <c r="O166" i="1"/>
  <c r="P63" i="1"/>
  <c r="S111" i="1"/>
  <c r="W151" i="1"/>
  <c r="Y151" i="1" s="1"/>
  <c r="O109" i="1"/>
  <c r="W109" i="1" s="1"/>
  <c r="Y109" i="1" s="1"/>
  <c r="W116" i="1"/>
  <c r="S113" i="1"/>
  <c r="W96" i="1"/>
  <c r="Y96" i="1" s="1"/>
  <c r="T54" i="1"/>
  <c r="O68" i="1"/>
  <c r="P68" i="1"/>
  <c r="O26" i="1"/>
  <c r="Y26" i="1" s="1"/>
  <c r="O25" i="1"/>
  <c r="Y25" i="1" s="1"/>
  <c r="H26" i="3"/>
  <c r="S40" i="1"/>
  <c r="T36" i="1"/>
  <c r="Y36" i="1" s="1"/>
  <c r="P36" i="1"/>
  <c r="S36" i="1" s="1"/>
  <c r="J2" i="1"/>
  <c r="E63" i="3"/>
  <c r="H63" i="3" s="1"/>
  <c r="H61" i="3"/>
  <c r="T37" i="1"/>
  <c r="O37" i="1"/>
  <c r="S37" i="1" s="1"/>
  <c r="D3" i="1"/>
  <c r="H29" i="2"/>
  <c r="K29" i="2" s="1"/>
  <c r="H59" i="3"/>
  <c r="S102" i="1"/>
  <c r="S32" i="1"/>
  <c r="I67" i="3"/>
  <c r="S123" i="1"/>
  <c r="Y118" i="1"/>
  <c r="U157" i="1"/>
  <c r="Y157" i="1" s="1"/>
  <c r="Y148" i="1"/>
  <c r="U170" i="1"/>
  <c r="Y170" i="1" s="1"/>
  <c r="O155" i="1"/>
  <c r="S155" i="1" s="1"/>
  <c r="W155" i="1"/>
  <c r="Y120" i="1"/>
  <c r="P103" i="1"/>
  <c r="O103" i="1"/>
  <c r="U66" i="1"/>
  <c r="Y66" i="1" s="1"/>
  <c r="S128" i="1"/>
  <c r="S118" i="1"/>
  <c r="W102" i="1"/>
  <c r="Y102" i="1" s="1"/>
  <c r="O16" i="1"/>
  <c r="N2" i="1"/>
  <c r="T16" i="1"/>
  <c r="S88" i="1"/>
  <c r="S60" i="1"/>
  <c r="S28" i="1"/>
  <c r="Y40" i="1"/>
  <c r="S161" i="1"/>
  <c r="X161" i="1"/>
  <c r="W161" i="1"/>
  <c r="S143" i="1"/>
  <c r="S121" i="1"/>
  <c r="O150" i="1"/>
  <c r="S150" i="1" s="1"/>
  <c r="W150" i="1"/>
  <c r="S126" i="1"/>
  <c r="Y114" i="1"/>
  <c r="Y32" i="1"/>
  <c r="W80" i="1"/>
  <c r="Y80" i="1" s="1"/>
  <c r="O134" i="1"/>
  <c r="W134" i="1"/>
  <c r="Y147" i="1"/>
  <c r="S147" i="1"/>
  <c r="Y136" i="1"/>
  <c r="W93" i="1"/>
  <c r="Y93" i="1" s="1"/>
  <c r="S136" i="1"/>
  <c r="W111" i="1"/>
  <c r="Y111" i="1" s="1"/>
  <c r="W119" i="1"/>
  <c r="P119" i="1"/>
  <c r="O119" i="1"/>
  <c r="S44" i="1"/>
  <c r="U62" i="1"/>
  <c r="Y62" i="1" s="1"/>
  <c r="S72" i="1"/>
  <c r="Y55" i="1"/>
  <c r="S127" i="1"/>
  <c r="U164" i="1"/>
  <c r="Y164" i="1" s="1"/>
  <c r="O130" i="1"/>
  <c r="S130" i="1" s="1"/>
  <c r="W130" i="1"/>
  <c r="O108" i="1"/>
  <c r="P108" i="1"/>
  <c r="S98" i="1"/>
  <c r="S31" i="1"/>
  <c r="S67" i="1"/>
  <c r="U58" i="1"/>
  <c r="Y58" i="1" s="1"/>
  <c r="S135" i="1"/>
  <c r="O138" i="1"/>
  <c r="W138" i="1"/>
  <c r="S107" i="1"/>
  <c r="Y162" i="1"/>
  <c r="U53" i="1"/>
  <c r="H20" i="4" l="1"/>
  <c r="S125" i="1"/>
  <c r="Y140" i="1"/>
  <c r="S70" i="1"/>
  <c r="S42" i="1"/>
  <c r="W100" i="1"/>
  <c r="Y100" i="1" s="1"/>
  <c r="U165" i="1"/>
  <c r="Y165" i="1" s="1"/>
  <c r="S86" i="1"/>
  <c r="S104" i="1"/>
  <c r="S144" i="1"/>
  <c r="W90" i="1"/>
  <c r="Y90" i="1" s="1"/>
  <c r="S169" i="1"/>
  <c r="S153" i="1"/>
  <c r="S112" i="1"/>
  <c r="S156" i="1"/>
  <c r="W101" i="1"/>
  <c r="Y101" i="1" s="1"/>
  <c r="S160" i="1"/>
  <c r="S95" i="1"/>
  <c r="S109" i="1"/>
  <c r="S154" i="1"/>
  <c r="S76" i="1"/>
  <c r="Y121" i="1"/>
  <c r="U50" i="1"/>
  <c r="Y50" i="1" s="1"/>
  <c r="Y116" i="1"/>
  <c r="X2" i="1"/>
  <c r="S49" i="1"/>
  <c r="W105" i="1"/>
  <c r="Y105" i="1" s="1"/>
  <c r="S137" i="1"/>
  <c r="Y131" i="1"/>
  <c r="W99" i="1"/>
  <c r="Y99" i="1" s="1"/>
  <c r="S54" i="1"/>
  <c r="S94" i="1"/>
  <c r="Y115" i="1"/>
  <c r="S159" i="1"/>
  <c r="Y53" i="1"/>
  <c r="U51" i="1"/>
  <c r="Y51" i="1" s="1"/>
  <c r="Y49" i="1"/>
  <c r="S63" i="1"/>
  <c r="Y134" i="1"/>
  <c r="S26" i="1"/>
  <c r="W68" i="1"/>
  <c r="Y68" i="1" s="1"/>
  <c r="S68" i="1"/>
  <c r="W77" i="1"/>
  <c r="Y77" i="1" s="1"/>
  <c r="U61" i="1"/>
  <c r="Y61" i="1" s="1"/>
  <c r="Y150" i="1"/>
  <c r="U166" i="1"/>
  <c r="Y166" i="1" s="1"/>
  <c r="S166" i="1"/>
  <c r="S77" i="1"/>
  <c r="Y138" i="1"/>
  <c r="Y119" i="1"/>
  <c r="S134" i="1"/>
  <c r="Y54" i="1"/>
  <c r="Y159" i="1"/>
  <c r="P2" i="1"/>
  <c r="W108" i="1"/>
  <c r="Y108" i="1" s="1"/>
  <c r="O2" i="1"/>
  <c r="Y70" i="1"/>
  <c r="S119" i="1"/>
  <c r="S103" i="1"/>
  <c r="S138" i="1"/>
  <c r="S108" i="1"/>
  <c r="Y130" i="1"/>
  <c r="W103" i="1"/>
  <c r="Y103" i="1" s="1"/>
  <c r="S16" i="1"/>
  <c r="Y155" i="1"/>
  <c r="U2" i="1" l="1"/>
  <c r="W2" i="1"/>
  <c r="Z2" i="1"/>
  <c r="S2" i="1"/>
</calcChain>
</file>

<file path=xl/sharedStrings.xml><?xml version="1.0" encoding="utf-8"?>
<sst xmlns="http://schemas.openxmlformats.org/spreadsheetml/2006/main" count="717" uniqueCount="413">
  <si>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</si>
  <si>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</si>
  <si>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</si>
  <si>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</si>
  <si>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</si>
  <si>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</si>
  <si>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</si>
  <si>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</si>
  <si>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</si>
  <si>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</si>
  <si>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</si>
  <si>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</si>
  <si>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</si>
  <si>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</si>
  <si>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</si>
  <si>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</si>
  <si>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</si>
  <si>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</si>
  <si>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</si>
  <si>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</si>
  <si>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</si>
  <si>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</si>
  <si>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</si>
  <si>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</si>
  <si>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</si>
  <si>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</si>
  <si>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</si>
  <si>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</si>
  <si>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</si>
  <si>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</si>
  <si>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</si>
  <si>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</si>
  <si>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</si>
  <si>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</si>
  <si>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</si>
  <si>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</si>
  <si>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</si>
  <si>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</si>
  <si>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</si>
  <si>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</si>
  <si>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</si>
  <si>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</si>
  <si>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</si>
  <si>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</si>
  <si>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</si>
  <si>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</si>
  <si>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</si>
  <si>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</si>
  <si>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</si>
  <si>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</si>
  <si>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</si>
  <si>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</si>
  <si>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</si>
  <si>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</si>
  <si>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</si>
  <si>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</si>
  <si>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</si>
  <si>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</si>
  <si>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</si>
  <si>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</si>
  <si>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</si>
  <si>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</si>
  <si>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</si>
  <si>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</si>
  <si>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</si>
  <si>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</si>
  <si>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</si>
  <si>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</si>
  <si>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</si>
  <si>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</si>
  <si>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</si>
  <si>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</si>
  <si>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</si>
  <si>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</si>
  <si>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</si>
  <si>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</si>
  <si>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</si>
  <si>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</si>
  <si>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</si>
  <si>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</si>
  <si>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</si>
  <si>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</si>
  <si>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</si>
  <si>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</si>
  <si>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</si>
  <si>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</si>
  <si>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</si>
  <si>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</si>
  <si>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</si>
  <si>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</si>
  <si>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</si>
  <si>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</si>
  <si>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</si>
  <si>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</si>
  <si>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</si>
  <si>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</si>
  <si>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</si>
  <si>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</si>
  <si>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</si>
  <si>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</si>
  <si>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</si>
  <si>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</si>
  <si>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</si>
  <si>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</si>
  <si>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</si>
  <si>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</si>
  <si>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</si>
  <si>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</si>
  <si>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</si>
  <si>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</si>
  <si>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</si>
  <si>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</si>
  <si>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</si>
  <si>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</si>
  <si>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</si>
  <si>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</si>
  <si>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</si>
  <si>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</si>
  <si>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</si>
  <si>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</si>
  <si>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</si>
  <si>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</si>
  <si>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</si>
  <si>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</si>
  <si>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</si>
  <si>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</si>
  <si>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</si>
  <si>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</si>
  <si>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</si>
  <si>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</si>
  <si>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</si>
  <si>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</si>
  <si>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</si>
  <si>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</si>
  <si>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</si>
  <si>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</si>
  <si>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</si>
  <si>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</si>
  <si>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</si>
  <si>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</si>
  <si>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</si>
  <si>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</si>
  <si>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</si>
  <si>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</si>
  <si>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</si>
  <si>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</si>
  <si>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</si>
  <si>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</si>
  <si>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</si>
  <si>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</si>
  <si>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</si>
  <si>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</si>
  <si>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</si>
  <si>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</si>
  <si>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</si>
  <si>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</si>
  <si>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</si>
  <si>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</si>
  <si>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</si>
  <si>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</si>
  <si>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</si>
  <si>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</si>
  <si>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</si>
  <si>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</si>
  <si>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</si>
  <si>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</si>
  <si>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</si>
  <si>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</si>
  <si>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</si>
  <si>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</si>
  <si>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</si>
  <si>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</si>
  <si>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</si>
  <si>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</si>
  <si>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</si>
  <si>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</si>
  <si>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</si>
  <si>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</si>
  <si>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</si>
  <si>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</si>
  <si>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</si>
  <si>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</si>
  <si>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</si>
  <si>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</si>
  <si>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</si>
  <si>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</si>
  <si>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</si>
  <si>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</si>
  <si>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</si>
  <si>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</si>
  <si>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</si>
  <si>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</si>
  <si>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</si>
  <si>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</si>
  <si>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</si>
  <si>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</si>
  <si>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</si>
  <si>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</si>
  <si>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</si>
  <si>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</si>
  <si>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</si>
  <si>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</si>
  <si>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</si>
  <si>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</si>
  <si>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</si>
  <si>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</si>
  <si>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</si>
  <si>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</si>
  <si>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</si>
  <si>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</si>
  <si>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</si>
  <si>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</si>
  <si>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</si>
  <si>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</si>
  <si>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</si>
  <si>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</si>
  <si>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</si>
  <si>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</si>
  <si>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</si>
  <si>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</si>
  <si>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</si>
  <si>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</si>
  <si>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</si>
  <si>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</si>
  <si>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</si>
  <si>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</si>
  <si>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</si>
  <si>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</si>
  <si>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</si>
  <si>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</si>
  <si>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</si>
  <si>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</si>
  <si>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</si>
  <si>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</si>
  <si>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</si>
  <si>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</si>
  <si>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</si>
  <si>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</si>
  <si>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</si>
  <si>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</si>
  <si>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</si>
  <si>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</si>
  <si>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</si>
  <si>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</si>
  <si>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</si>
  <si>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</si>
  <si>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</si>
  <si>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</si>
  <si>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</si>
  <si>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</si>
  <si>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</si>
  <si>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</si>
  <si>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</si>
  <si>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</si>
  <si>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</si>
  <si>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</si>
  <si>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</si>
  <si>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</si>
  <si>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</si>
  <si>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</si>
  <si>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</si>
  <si>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</si>
  <si>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</si>
  <si>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</si>
  <si>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</si>
  <si>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</si>
  <si>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</si>
  <si>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</si>
  <si>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</si>
  <si>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</si>
  <si>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</si>
  <si>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</si>
  <si>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</si>
  <si>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</si>
  <si>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</si>
  <si>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</si>
  <si>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</si>
  <si>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</si>
  <si>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</si>
  <si>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</si>
  <si>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</si>
  <si>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</si>
  <si>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</si>
  <si>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</si>
  <si>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</si>
  <si>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</si>
  <si>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</si>
  <si>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</si>
  <si>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</si>
  <si>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</si>
  <si>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</si>
  <si>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</si>
  <si>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</si>
  <si>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</si>
  <si>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</si>
  <si>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</si>
  <si>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</si>
  <si>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</si>
  <si>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</si>
  <si>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</si>
  <si>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</si>
  <si>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</si>
  <si>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</si>
  <si>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</si>
  <si>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</si>
  <si>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</si>
  <si>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</si>
  <si>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</si>
  <si>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</si>
  <si>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</si>
  <si>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</si>
  <si>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</si>
  <si>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</si>
  <si>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</si>
  <si>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</si>
  <si>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</si>
  <si>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</si>
  <si>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</si>
  <si>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</si>
  <si>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</si>
  <si>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</si>
  <si>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</si>
  <si>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</si>
  <si>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</si>
  <si>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</si>
  <si>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</si>
  <si>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</si>
  <si>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</si>
  <si>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</si>
  <si>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</si>
  <si>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</si>
  <si>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</si>
  <si>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</si>
  <si>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</si>
  <si>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</si>
  <si>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</si>
  <si>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</si>
  <si>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</si>
  <si>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</si>
  <si>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</si>
  <si>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</si>
  <si>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</si>
  <si>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</si>
  <si>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</si>
  <si>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</si>
  <si>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</si>
  <si>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</si>
  <si>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</si>
  <si>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</si>
  <si>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</si>
  <si>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</si>
  <si>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</si>
  <si>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</si>
  <si>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</si>
  <si>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</si>
  <si>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</si>
  <si>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</si>
  <si>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</si>
  <si>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</si>
  <si>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</si>
  <si>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</si>
  <si>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</si>
  <si>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</si>
  <si>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</si>
  <si>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</si>
  <si>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</si>
  <si>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</si>
  <si>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</si>
  <si>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</si>
  <si>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</si>
  <si>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</si>
  <si>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</si>
  <si>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</si>
  <si>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</si>
  <si>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</si>
  <si>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</si>
  <si>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</si>
  <si>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</si>
  <si>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</si>
  <si>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</si>
  <si>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</si>
  <si>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</si>
  <si>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</si>
  <si>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</si>
  <si>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</si>
  <si>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</si>
  <si>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</si>
  <si>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</si>
  <si>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</si>
  <si>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</si>
  <si>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</si>
  <si>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</si>
  <si>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</si>
  <si>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</si>
  <si>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</si>
  <si>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</si>
  <si>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</si>
  <si>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</si>
  <si>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</si>
  <si>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</si>
  <si>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</si>
  <si>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</si>
  <si>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</si>
  <si>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</si>
  <si>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</si>
  <si>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</si>
  <si>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</si>
  <si>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</si>
  <si>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al 30 del mes de Septiembre de 2024</t>
  </si>
  <si>
    <t>Cuenta de Disponibilidad Fondo 7374 Arabia Saudita</t>
  </si>
  <si>
    <t>Saldo al 31 de diciembre del 2024</t>
  </si>
  <si>
    <t>Correspondiente al 31 del mes de diciembre del año 2024</t>
  </si>
  <si>
    <t>Correspondienteal 31 del mes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</si>
</sst>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2" fontId="29" fillId="0" borderId="8" xfId="1" applyNumberFormat="1" applyFont="1" applyBorder="1" applyAlignment="1">
      <alignment vertical="center"/>
    </xf>
    <xf numFmtId="42" fontId="27" fillId="0" borderId="8" xfId="1" applyNumberFormat="1" applyFont="1" applyBorder="1" applyAlignment="1">
      <alignment vertical="center"/>
    </xf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MENSUALES%202024\DICIEMBRE\EJECUCION%20DICIEMBRE%202024%20.xlsx" TargetMode="External"/><Relationship Id="rId1" Type="http://schemas.openxmlformats.org/officeDocument/2006/relationships/externalLinkPath" Target="/Users/cristian.fernanda/Downloads/EJECUCION%20DICIEMBRE%202024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8">
          <cell r="B8"/>
        </row>
        <row r="14">
          <cell r="B14">
            <v>22180071</v>
          </cell>
        </row>
        <row r="24">
          <cell r="B24">
            <v>5000000</v>
          </cell>
        </row>
        <row r="50">
          <cell r="B50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-1756749.2299999967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9"/>
  <sheetViews>
    <sheetView workbookViewId="0">
      <pane ySplit="11" topLeftCell="A12" activePane="bottomLeft" state="frozen"/>
      <selection pane="bottomLeft" activeCell="D170" sqref="D170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D331235</f>
        <v>0</v>
      </c>
      <c r="E2" s="7">
        <f>E331235</f>
        <v>0</v>
      </c>
      <c r="F2" s="7">
        <f>F331235</f>
        <v>0</v>
      </c>
      <c r="G2" s="8"/>
      <c r="I2" s="9" t="s">
        <v>1</v>
      </c>
      <c r="J2" s="7">
        <f>SUM(J13:J168)</f>
        <v>152040063.34999996</v>
      </c>
      <c r="K2" s="7">
        <f t="shared" ref="K2:Q2" si="0">SUM(K13:K172)</f>
        <v>0</v>
      </c>
      <c r="L2" s="7">
        <f t="shared" si="0"/>
        <v>0</v>
      </c>
      <c r="M2" s="7">
        <f t="shared" si="0"/>
        <v>279827939.73999995</v>
      </c>
      <c r="N2" s="7">
        <f t="shared" si="0"/>
        <v>-129265280.64000002</v>
      </c>
      <c r="O2" s="7">
        <f t="shared" si="0"/>
        <v>96903921.790000021</v>
      </c>
      <c r="P2" s="7">
        <f t="shared" si="0"/>
        <v>-37575346.790000007</v>
      </c>
      <c r="Q2" s="7">
        <f t="shared" si="0"/>
        <v>0</v>
      </c>
      <c r="S2" s="7">
        <f>SUM(N2:R2)</f>
        <v>-69936705.640000001</v>
      </c>
      <c r="T2" s="7"/>
      <c r="U2" s="10">
        <f>SUM(U13:U172)</f>
        <v>0</v>
      </c>
      <c r="V2" s="10">
        <f>SUM(V13:V172)</f>
        <v>0</v>
      </c>
      <c r="W2" s="10">
        <f>SUM(W13:W172)</f>
        <v>-17180071</v>
      </c>
      <c r="X2" s="7">
        <f>SUM(X13:X172)</f>
        <v>0</v>
      </c>
      <c r="Z2" s="7">
        <f>+O2+P2-N2</f>
        <v>188593855.64000005</v>
      </c>
    </row>
    <row r="3" spans="1:30" hidden="1" x14ac:dyDescent="0.25">
      <c r="C3" s="6"/>
      <c r="D3" s="11">
        <f>+SUBTOTAL(9,D13:D173)</f>
        <v>172187322.19999996</v>
      </c>
      <c r="E3" s="6"/>
      <c r="F3" s="11">
        <f>+SUBTOTAL(9,F13:F173)</f>
        <v>177396636.71999991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>
        <v>184516606.18000001</v>
      </c>
      <c r="H6" s="7">
        <f>+G6+D26</f>
        <v>0</v>
      </c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408</v>
      </c>
      <c r="D7" s="187"/>
      <c r="E7" s="187"/>
      <c r="F7" s="187"/>
      <c r="G7" s="15">
        <v>-183039201.93000001</v>
      </c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G8" s="15">
        <f>+G6+G7</f>
        <v>1477404.25</v>
      </c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2" si="1">SUM(N12:R12)</f>
        <v>0</v>
      </c>
      <c r="T12" s="30" t="e">
        <f t="shared" ref="T12:T41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44460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2615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0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354581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20802020</v>
      </c>
      <c r="M16" s="7">
        <f>F16+F17+F19+'EFE-Flujo de Efectivo'!P62</f>
        <v>0</v>
      </c>
      <c r="N16" s="8">
        <f>+J16+K16-L16-M16</f>
        <v>20802020</v>
      </c>
      <c r="O16" s="7">
        <f>-N16</f>
        <v>-20802020</v>
      </c>
      <c r="P16" s="7"/>
      <c r="Q16" s="7"/>
      <c r="R16" s="7"/>
      <c r="S16" s="7">
        <f t="shared" si="1"/>
        <v>0</v>
      </c>
      <c r="T16" s="30">
        <f t="shared" si="2"/>
        <v>-20802020</v>
      </c>
      <c r="Y16" s="7"/>
    </row>
    <row r="17" spans="1:25" ht="15.75" x14ac:dyDescent="0.25">
      <c r="A17" s="1" t="s">
        <v>40</v>
      </c>
      <c r="C17" s="31" t="s">
        <v>43</v>
      </c>
      <c r="D17" s="16">
        <v>0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10494655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9952784</v>
      </c>
      <c r="E20" s="7"/>
      <c r="G20" s="13"/>
      <c r="H20" s="32"/>
      <c r="J20" s="7"/>
      <c r="M20" s="7"/>
      <c r="N20" s="8">
        <f t="shared" ref="N20:N88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409</v>
      </c>
      <c r="D21" s="16">
        <v>3252025</v>
      </c>
      <c r="E21" s="7"/>
      <c r="G21" s="13"/>
      <c r="H21" s="32"/>
      <c r="J21" s="7"/>
      <c r="M21" s="7"/>
      <c r="N21" s="8"/>
      <c r="O21" s="7"/>
      <c r="P21" s="7"/>
      <c r="Q21" s="7"/>
      <c r="R21" s="7"/>
      <c r="S21" s="7"/>
      <c r="T21" s="30"/>
      <c r="Y21" s="7"/>
    </row>
    <row r="22" spans="1:25" x14ac:dyDescent="0.25">
      <c r="A22" s="1" t="s">
        <v>40</v>
      </c>
      <c r="C22" s="31" t="s">
        <v>46</v>
      </c>
      <c r="D22" s="16"/>
      <c r="E22" s="7"/>
      <c r="F22" s="7"/>
      <c r="G22" s="13"/>
      <c r="H22" s="7"/>
      <c r="I22" s="3" t="str">
        <f>+C22</f>
        <v>CI 7297 Prevencion para Des. Temp. Ciclonica</v>
      </c>
      <c r="J22" s="7">
        <f>D22</f>
        <v>0</v>
      </c>
      <c r="M22" s="7"/>
      <c r="N22" s="8">
        <f t="shared" si="3"/>
        <v>0</v>
      </c>
      <c r="O22" s="7">
        <f>-N22</f>
        <v>0</v>
      </c>
      <c r="P22" s="7"/>
      <c r="Q22" s="7"/>
      <c r="S22" s="7">
        <f t="shared" si="1"/>
        <v>0</v>
      </c>
      <c r="T22" s="30">
        <f t="shared" si="2"/>
        <v>0</v>
      </c>
      <c r="Y22" s="7"/>
    </row>
    <row r="23" spans="1:25" x14ac:dyDescent="0.25">
      <c r="A23" s="1" t="s">
        <v>47</v>
      </c>
      <c r="C23" s="3" t="s">
        <v>48</v>
      </c>
      <c r="D23" s="16">
        <v>4181019.15</v>
      </c>
      <c r="E23" s="7"/>
      <c r="F23" s="32"/>
      <c r="G23" s="15"/>
      <c r="H23" s="3" t="s">
        <v>49</v>
      </c>
      <c r="I23" s="3" t="str">
        <f>+C23</f>
        <v>Material gastable</v>
      </c>
      <c r="J23" s="7">
        <f>D23</f>
        <v>4181019.15</v>
      </c>
      <c r="M23" s="7">
        <f>F23</f>
        <v>0</v>
      </c>
      <c r="N23" s="8">
        <f t="shared" si="3"/>
        <v>4181019.15</v>
      </c>
      <c r="O23" s="7">
        <f>-N23</f>
        <v>-4181019.15</v>
      </c>
      <c r="P23" s="7"/>
      <c r="Q23" s="7"/>
      <c r="S23" s="7">
        <f>SUM(N23:R23)</f>
        <v>0</v>
      </c>
      <c r="T23" s="30">
        <f t="shared" si="2"/>
        <v>-4181019.15</v>
      </c>
      <c r="W23" s="7"/>
      <c r="Y23" s="7"/>
    </row>
    <row r="24" spans="1:25" x14ac:dyDescent="0.25">
      <c r="A24" s="1" t="s">
        <v>50</v>
      </c>
      <c r="C24" s="3" t="s">
        <v>51</v>
      </c>
      <c r="D24" s="16"/>
      <c r="E24" s="7"/>
      <c r="F24" s="7">
        <f>+D26-H6</f>
        <v>-184516606.18000001</v>
      </c>
      <c r="G24" s="15"/>
      <c r="J24" s="7">
        <f>D24</f>
        <v>0</v>
      </c>
      <c r="M24" s="7"/>
      <c r="N24" s="8">
        <f t="shared" si="3"/>
        <v>0</v>
      </c>
      <c r="O24" s="7">
        <f>-N24</f>
        <v>0</v>
      </c>
      <c r="P24" s="7"/>
      <c r="Q24" s="7">
        <f>N3-'[2]ECANP-Cambio Patrimonio'!M21</f>
        <v>0</v>
      </c>
      <c r="S24" s="7">
        <f t="shared" si="1"/>
        <v>0</v>
      </c>
      <c r="T24" s="30">
        <f t="shared" si="2"/>
        <v>0</v>
      </c>
      <c r="W24" s="7">
        <f>+O24</f>
        <v>0</v>
      </c>
      <c r="Y24" s="7">
        <f>SUM(T24:X24)-O24</f>
        <v>0</v>
      </c>
    </row>
    <row r="25" spans="1:25" ht="15.75" x14ac:dyDescent="0.25">
      <c r="A25" s="1" t="s">
        <v>52</v>
      </c>
      <c r="C25" s="3" t="s">
        <v>53</v>
      </c>
      <c r="D25" s="34">
        <f>258236993.91+14758688.43</f>
        <v>272995682.33999997</v>
      </c>
      <c r="E25" s="7"/>
      <c r="F25" s="7">
        <v>3653530.2</v>
      </c>
      <c r="G25" s="14">
        <v>642444</v>
      </c>
      <c r="H25" s="3" t="s">
        <v>54</v>
      </c>
      <c r="I25" s="3" t="str">
        <f>+C25</f>
        <v>Mobiliarios y equipos de oficina</v>
      </c>
      <c r="J25" s="7">
        <f>D25</f>
        <v>272995682.33999997</v>
      </c>
      <c r="K25" s="8"/>
      <c r="M25" s="7">
        <f>F25</f>
        <v>3653530.2</v>
      </c>
      <c r="N25" s="8">
        <f t="shared" si="3"/>
        <v>269342152.13999999</v>
      </c>
      <c r="O25" s="7">
        <f>-N25</f>
        <v>-269342152.13999999</v>
      </c>
      <c r="P25" s="7"/>
      <c r="Q25" s="7"/>
      <c r="S25" s="7"/>
      <c r="T25" s="30">
        <f t="shared" si="2"/>
        <v>-269342152.13999999</v>
      </c>
      <c r="Y25" s="7">
        <f>SUM(T25:X25)-O25</f>
        <v>0</v>
      </c>
    </row>
    <row r="26" spans="1:25" x14ac:dyDescent="0.25">
      <c r="A26" s="1" t="s">
        <v>52</v>
      </c>
      <c r="C26" s="3" t="s">
        <v>55</v>
      </c>
      <c r="D26" s="35">
        <v>-184516606.18000001</v>
      </c>
      <c r="E26" s="7"/>
      <c r="F26" s="7">
        <f>D25+F25</f>
        <v>276649212.53999996</v>
      </c>
      <c r="G26" s="14"/>
      <c r="I26" s="3" t="str">
        <f>+C26</f>
        <v>Depreciación acumulada</v>
      </c>
      <c r="J26" s="7">
        <f>D26</f>
        <v>-184516606.18000001</v>
      </c>
      <c r="K26" s="36"/>
      <c r="L26" s="8"/>
      <c r="M26" s="7">
        <f>F26</f>
        <v>276649212.53999996</v>
      </c>
      <c r="N26" s="8">
        <f t="shared" si="3"/>
        <v>-461165818.71999997</v>
      </c>
      <c r="O26" s="7">
        <f>-N26</f>
        <v>461165818.71999997</v>
      </c>
      <c r="P26" s="7"/>
      <c r="Q26" s="7">
        <f>N5-'[2]ECANP-Cambio Patrimonio'!M23</f>
        <v>0</v>
      </c>
      <c r="S26" s="7">
        <f t="shared" si="1"/>
        <v>0</v>
      </c>
      <c r="T26" s="30">
        <f t="shared" si="2"/>
        <v>461165818.71999997</v>
      </c>
      <c r="Y26" s="7">
        <f>SUM(T26:X26)-O26</f>
        <v>0</v>
      </c>
    </row>
    <row r="27" spans="1:25" x14ac:dyDescent="0.25">
      <c r="A27" s="1" t="s">
        <v>56</v>
      </c>
      <c r="C27" s="3" t="s">
        <v>57</v>
      </c>
      <c r="D27" s="16"/>
      <c r="E27" s="7"/>
      <c r="F27" s="7">
        <f>D25+D26</f>
        <v>88479076.159999967</v>
      </c>
      <c r="G27" s="14">
        <f>D25+G25</f>
        <v>273638126.33999997</v>
      </c>
      <c r="H27" s="3" t="s">
        <v>54</v>
      </c>
      <c r="I27" s="3" t="str">
        <f>+C27</f>
        <v>Intangibles</v>
      </c>
      <c r="J27" s="7">
        <f>+D27</f>
        <v>0</v>
      </c>
      <c r="K27" s="8"/>
      <c r="L27" s="7"/>
      <c r="M27" s="7"/>
      <c r="N27" s="8">
        <f t="shared" si="3"/>
        <v>0</v>
      </c>
      <c r="P27" s="7">
        <f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A28" s="1" t="s">
        <v>56</v>
      </c>
      <c r="C28" s="3" t="s">
        <v>58</v>
      </c>
      <c r="D28" s="16"/>
      <c r="E28" s="7"/>
      <c r="F28" s="7"/>
      <c r="G28" s="14"/>
      <c r="I28" s="3" t="str">
        <f>+C28</f>
        <v>Amortización</v>
      </c>
      <c r="J28" s="7">
        <f>+D28</f>
        <v>0</v>
      </c>
      <c r="K28" s="7"/>
      <c r="L28" s="7"/>
      <c r="M28" s="7"/>
      <c r="N28" s="8">
        <f t="shared" si="3"/>
        <v>0</v>
      </c>
      <c r="P28" s="7">
        <f t="shared" ref="P28:P95" si="4">-N28</f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D29" s="16"/>
      <c r="E29" s="7"/>
      <c r="F29" s="7"/>
      <c r="G29" s="14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59</v>
      </c>
      <c r="D30" s="16"/>
      <c r="E30" s="7"/>
      <c r="F30" s="7"/>
      <c r="G30" s="15"/>
      <c r="J30" s="7"/>
      <c r="K30" s="7"/>
      <c r="L30" s="7"/>
      <c r="M30" s="7"/>
      <c r="N30" s="8">
        <f t="shared" si="3"/>
        <v>0</v>
      </c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A31" s="1" t="s">
        <v>60</v>
      </c>
      <c r="C31" s="3" t="s">
        <v>61</v>
      </c>
      <c r="D31" s="32">
        <v>-14413464.74</v>
      </c>
      <c r="E31" s="7"/>
      <c r="F31" s="7">
        <v>-11393773</v>
      </c>
      <c r="G31" s="14">
        <f>F31-'[3]EFE-Flujo de Efectivo'!C53</f>
        <v>-5617877.4699999997</v>
      </c>
      <c r="H31" s="3" t="s">
        <v>49</v>
      </c>
      <c r="I31" s="3" t="str">
        <f>+C31</f>
        <v>Cuentas por pagar</v>
      </c>
      <c r="J31" s="7">
        <f>+D31</f>
        <v>-14413464.74</v>
      </c>
      <c r="K31" s="7"/>
      <c r="L31" s="7"/>
      <c r="M31" s="7"/>
      <c r="N31" s="8">
        <f t="shared" si="3"/>
        <v>-14413464.74</v>
      </c>
      <c r="O31" s="7">
        <f>-N31</f>
        <v>14413464.74</v>
      </c>
      <c r="P31" s="7">
        <f t="shared" si="4"/>
        <v>14413464.74</v>
      </c>
      <c r="S31" s="7">
        <f>SUM(N31:R31)</f>
        <v>14413464.74</v>
      </c>
      <c r="T31" s="30">
        <f t="shared" si="2"/>
        <v>14413464.74</v>
      </c>
      <c r="W31" s="7"/>
      <c r="Y31" s="7">
        <f>SUM(T31:X31)-O31</f>
        <v>0</v>
      </c>
    </row>
    <row r="32" spans="1:25" x14ac:dyDescent="0.25">
      <c r="A32" s="1" t="s">
        <v>62</v>
      </c>
      <c r="C32" s="3" t="s">
        <v>63</v>
      </c>
      <c r="D32" s="37">
        <v>-410770.97</v>
      </c>
      <c r="E32" s="7"/>
      <c r="F32" s="7">
        <v>-474803</v>
      </c>
      <c r="G32" s="14">
        <f>D32-F32</f>
        <v>64032.030000000028</v>
      </c>
      <c r="I32" s="3" t="str">
        <f>+C32</f>
        <v>Retenciones y acumulaciones por pagar</v>
      </c>
      <c r="J32" s="7">
        <f>+D32</f>
        <v>-410770.97</v>
      </c>
      <c r="K32" s="7"/>
      <c r="L32" s="7"/>
      <c r="M32" s="7">
        <f>F32</f>
        <v>-474803</v>
      </c>
      <c r="N32" s="8">
        <f t="shared" si="3"/>
        <v>64032.030000000028</v>
      </c>
      <c r="O32" s="7">
        <f>-N32</f>
        <v>-64032.030000000028</v>
      </c>
      <c r="P32" s="7">
        <f t="shared" si="4"/>
        <v>-64032.030000000028</v>
      </c>
      <c r="S32" s="7">
        <f t="shared" si="1"/>
        <v>-64032.030000000028</v>
      </c>
      <c r="T32" s="30">
        <f t="shared" si="2"/>
        <v>-64032.030000000028</v>
      </c>
      <c r="Y32" s="7">
        <f>SUM(T32:X32)-O32</f>
        <v>0</v>
      </c>
    </row>
    <row r="33" spans="1:25" x14ac:dyDescent="0.25">
      <c r="C33" s="3" t="s">
        <v>64</v>
      </c>
      <c r="D33" s="16"/>
      <c r="E33" s="7"/>
      <c r="F33" s="7"/>
      <c r="G33" s="14">
        <f>D33-F33</f>
        <v>0</v>
      </c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A34" s="1" t="s">
        <v>33</v>
      </c>
      <c r="C34" s="27" t="s">
        <v>65</v>
      </c>
      <c r="D34" s="16"/>
      <c r="E34" s="7"/>
      <c r="F34" s="7"/>
      <c r="G34" s="13"/>
      <c r="J34" s="7"/>
      <c r="K34" s="7"/>
      <c r="L34" s="7"/>
      <c r="M34" s="7"/>
      <c r="N34" s="8">
        <f t="shared" si="3"/>
        <v>0</v>
      </c>
      <c r="O34" s="7"/>
      <c r="P34" s="7">
        <f t="shared" si="4"/>
        <v>0</v>
      </c>
      <c r="S34" s="7">
        <f t="shared" si="1"/>
        <v>0</v>
      </c>
      <c r="T34" s="30">
        <f t="shared" si="2"/>
        <v>0</v>
      </c>
      <c r="Y34" s="7"/>
    </row>
    <row r="35" spans="1:25" x14ac:dyDescent="0.25">
      <c r="C35" s="38" t="s">
        <v>66</v>
      </c>
      <c r="D35" s="16">
        <f>'[3]ECANP-Cambio Patrimonio'!D20</f>
        <v>51695326</v>
      </c>
      <c r="E35" s="8"/>
      <c r="F35" s="8"/>
      <c r="G35" s="13"/>
      <c r="J35" s="7">
        <f>D35</f>
        <v>51695326</v>
      </c>
      <c r="K35" s="7"/>
      <c r="L35" s="7"/>
      <c r="M35" s="7">
        <f>F35</f>
        <v>0</v>
      </c>
      <c r="N35" s="8">
        <f t="shared" si="3"/>
        <v>51695326</v>
      </c>
      <c r="O35" s="7">
        <f>-N35</f>
        <v>-51695326</v>
      </c>
      <c r="P35" s="7">
        <f t="shared" si="4"/>
        <v>-51695326</v>
      </c>
      <c r="S35" s="7">
        <f t="shared" si="1"/>
        <v>-51695326</v>
      </c>
      <c r="T35" s="30">
        <f t="shared" si="2"/>
        <v>-51695326</v>
      </c>
      <c r="Y35" s="7"/>
    </row>
    <row r="36" spans="1:25" x14ac:dyDescent="0.25">
      <c r="A36" s="1" t="s">
        <v>67</v>
      </c>
      <c r="C36" s="3" t="s">
        <v>68</v>
      </c>
      <c r="D36" s="16">
        <f>'[3]ECANP-Cambio Patrimonio'!G13</f>
        <v>18555016.600000001</v>
      </c>
      <c r="E36" s="8"/>
      <c r="F36" s="8"/>
      <c r="G36" s="13">
        <v>2098358.34</v>
      </c>
      <c r="I36" s="3" t="str">
        <f>+C36</f>
        <v>Resultado acumulado</v>
      </c>
      <c r="J36" s="7">
        <f>D36</f>
        <v>18555016.600000001</v>
      </c>
      <c r="K36" s="7"/>
      <c r="L36" s="7"/>
      <c r="M36" s="7">
        <f>F36</f>
        <v>0</v>
      </c>
      <c r="N36" s="8">
        <f>+J36+K36-L36-M36</f>
        <v>18555016.600000001</v>
      </c>
      <c r="O36" s="7">
        <f>-N36</f>
        <v>-18555016.600000001</v>
      </c>
      <c r="P36" s="7">
        <f t="shared" si="4"/>
        <v>-18555016.600000001</v>
      </c>
      <c r="S36" s="7">
        <f t="shared" si="1"/>
        <v>-18555016.600000001</v>
      </c>
      <c r="T36" s="30">
        <f t="shared" si="2"/>
        <v>-18555016.600000001</v>
      </c>
      <c r="W36" s="7"/>
      <c r="Y36" s="7">
        <f>SUM(T36:X36)-O36</f>
        <v>0</v>
      </c>
    </row>
    <row r="37" spans="1:25" ht="15" customHeight="1" x14ac:dyDescent="0.25">
      <c r="A37" s="1" t="s">
        <v>69</v>
      </c>
      <c r="C37" s="3" t="s">
        <v>70</v>
      </c>
      <c r="D37" s="16">
        <f>'ECANP-Cambio Patrimonio'!G19</f>
        <v>20392083.600000001</v>
      </c>
      <c r="E37" s="30"/>
      <c r="F37" s="8"/>
      <c r="G37" s="13"/>
      <c r="I37" s="3" t="str">
        <f>+C37</f>
        <v>Resultado del período</v>
      </c>
      <c r="J37" s="7">
        <f>D37</f>
        <v>20392083.600000001</v>
      </c>
      <c r="K37" s="7"/>
      <c r="L37" s="7"/>
      <c r="M37" s="7">
        <f>F37</f>
        <v>0</v>
      </c>
      <c r="N37" s="8">
        <f>+J37+K37-L37-M37</f>
        <v>20392083.600000001</v>
      </c>
      <c r="O37" s="7">
        <f>-N37</f>
        <v>-20392083.600000001</v>
      </c>
      <c r="P37" s="7">
        <f t="shared" si="4"/>
        <v>-20392083.600000001</v>
      </c>
      <c r="S37" s="7">
        <f t="shared" si="1"/>
        <v>-20392083.600000001</v>
      </c>
      <c r="T37" s="30">
        <f t="shared" si="2"/>
        <v>-20392083.600000001</v>
      </c>
      <c r="Y37" s="7"/>
    </row>
    <row r="38" spans="1:25" s="40" customFormat="1" ht="15.6" customHeight="1" x14ac:dyDescent="0.25">
      <c r="A38" s="39"/>
      <c r="B38" s="2"/>
      <c r="C38" s="40" t="s">
        <v>71</v>
      </c>
      <c r="D38" s="41"/>
      <c r="E38" s="42"/>
      <c r="F38" s="42"/>
      <c r="G38" s="43"/>
      <c r="I38" s="3" t="str">
        <f>+C38</f>
        <v>Ajustes</v>
      </c>
      <c r="J38" s="7">
        <f>D41</f>
        <v>-1175000</v>
      </c>
      <c r="K38" s="17"/>
      <c r="M38" s="17"/>
      <c r="N38" s="8">
        <f t="shared" si="3"/>
        <v>-1175000</v>
      </c>
      <c r="O38" s="7">
        <f>-N38</f>
        <v>1175000</v>
      </c>
      <c r="P38" s="7">
        <f t="shared" si="4"/>
        <v>1175000</v>
      </c>
      <c r="Q38" s="3"/>
      <c r="S38" s="7">
        <f t="shared" si="1"/>
        <v>1175000</v>
      </c>
      <c r="T38" s="30">
        <f t="shared" si="2"/>
        <v>1175000</v>
      </c>
      <c r="Y38" s="17"/>
    </row>
    <row r="39" spans="1:25" s="40" customFormat="1" x14ac:dyDescent="0.25">
      <c r="A39" s="39"/>
      <c r="B39" s="2"/>
      <c r="D39" s="41"/>
      <c r="E39" s="30"/>
      <c r="F39" s="42"/>
      <c r="G39" s="43"/>
      <c r="I39" s="17"/>
      <c r="J39" s="7">
        <f t="shared" ref="J39" si="5">D42</f>
        <v>-32361358.850000001</v>
      </c>
      <c r="K39" s="17"/>
      <c r="M39" s="17"/>
      <c r="N39" s="8">
        <f t="shared" si="3"/>
        <v>-32361358.850000001</v>
      </c>
      <c r="O39" s="17"/>
      <c r="P39" s="7">
        <f t="shared" si="4"/>
        <v>32361358.850000001</v>
      </c>
      <c r="Q39" s="3"/>
      <c r="S39" s="7">
        <f>SUM(N39:R39)</f>
        <v>0</v>
      </c>
      <c r="T39" s="30">
        <f t="shared" si="2"/>
        <v>32361358.850000001</v>
      </c>
      <c r="Y39" s="17"/>
    </row>
    <row r="40" spans="1:25" s="40" customFormat="1" x14ac:dyDescent="0.25">
      <c r="A40" s="39" t="s">
        <v>33</v>
      </c>
      <c r="B40" s="2"/>
      <c r="C40" s="27" t="s">
        <v>72</v>
      </c>
      <c r="D40" s="41"/>
      <c r="E40" s="30"/>
      <c r="F40" s="8"/>
      <c r="G40" s="43"/>
      <c r="J40" s="7">
        <f>D44</f>
        <v>0</v>
      </c>
      <c r="M40" s="17"/>
      <c r="N40" s="8">
        <f t="shared" si="3"/>
        <v>0</v>
      </c>
      <c r="O40" s="17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17">
        <f t="shared" ref="Y40:Y65" si="6">SUM(T40:X40)-O40</f>
        <v>0</v>
      </c>
    </row>
    <row r="41" spans="1:25" s="42" customFormat="1" x14ac:dyDescent="0.25">
      <c r="A41" s="44" t="s">
        <v>73</v>
      </c>
      <c r="B41" s="45"/>
      <c r="C41" s="3" t="s">
        <v>74</v>
      </c>
      <c r="D41" s="46">
        <v>-1175000</v>
      </c>
      <c r="E41" s="30">
        <v>-1055000</v>
      </c>
      <c r="F41" s="8"/>
      <c r="G41" s="30"/>
      <c r="I41" s="42" t="s">
        <v>74</v>
      </c>
      <c r="J41" s="7">
        <f>D45</f>
        <v>0</v>
      </c>
      <c r="M41" s="30">
        <f>F41</f>
        <v>0</v>
      </c>
      <c r="N41" s="8">
        <f t="shared" si="3"/>
        <v>0</v>
      </c>
      <c r="O41" s="30">
        <f>-N41</f>
        <v>0</v>
      </c>
      <c r="P41" s="7">
        <f t="shared" si="4"/>
        <v>0</v>
      </c>
      <c r="Q41" s="3"/>
      <c r="S41" s="7">
        <f t="shared" si="1"/>
        <v>0</v>
      </c>
      <c r="T41" s="30">
        <f t="shared" si="2"/>
        <v>0</v>
      </c>
      <c r="Y41" s="30"/>
    </row>
    <row r="42" spans="1:25" s="42" customFormat="1" x14ac:dyDescent="0.25">
      <c r="A42" s="44" t="s">
        <v>75</v>
      </c>
      <c r="B42" s="45"/>
      <c r="C42" s="3" t="s">
        <v>76</v>
      </c>
      <c r="D42" s="46">
        <v>-32361358.850000001</v>
      </c>
      <c r="E42" s="30"/>
      <c r="F42" s="8"/>
      <c r="G42" s="30"/>
      <c r="I42" s="42" t="s">
        <v>76</v>
      </c>
      <c r="J42" s="17">
        <f>D42</f>
        <v>-32361358.850000001</v>
      </c>
      <c r="M42" s="30">
        <f>F42</f>
        <v>0</v>
      </c>
      <c r="N42" s="8">
        <f t="shared" si="3"/>
        <v>-32361358.850000001</v>
      </c>
      <c r="O42" s="30">
        <f>-N42</f>
        <v>32361358.850000001</v>
      </c>
      <c r="P42" s="7">
        <f t="shared" si="4"/>
        <v>32361358.850000001</v>
      </c>
      <c r="Q42" s="3"/>
      <c r="S42" s="7">
        <f t="shared" si="1"/>
        <v>32361358.850000001</v>
      </c>
      <c r="T42" s="30">
        <f>-N42</f>
        <v>32361358.850000001</v>
      </c>
      <c r="Y42" s="30"/>
    </row>
    <row r="43" spans="1:25" s="42" customFormat="1" x14ac:dyDescent="0.25">
      <c r="A43" s="44" t="s">
        <v>75</v>
      </c>
      <c r="B43" s="45"/>
      <c r="C43" s="3" t="s">
        <v>77</v>
      </c>
      <c r="D43" s="46">
        <v>-15513200</v>
      </c>
      <c r="E43" s="30"/>
      <c r="F43" s="8"/>
      <c r="G43" s="30"/>
      <c r="J43" s="17"/>
      <c r="M43" s="30"/>
      <c r="N43" s="8"/>
      <c r="O43" s="30"/>
      <c r="P43" s="7"/>
      <c r="Q43" s="3"/>
      <c r="S43" s="7"/>
      <c r="T43" s="30"/>
      <c r="Y43" s="30"/>
    </row>
    <row r="44" spans="1:25" s="38" customFormat="1" x14ac:dyDescent="0.25">
      <c r="A44" s="47" t="s">
        <v>78</v>
      </c>
      <c r="B44" s="45"/>
      <c r="C44" s="40" t="s">
        <v>79</v>
      </c>
      <c r="D44" s="46"/>
      <c r="E44" s="8"/>
      <c r="G44" s="48"/>
      <c r="I44" s="38" t="str">
        <f>+C44</f>
        <v>Recargos, multas y otros ingresos</v>
      </c>
      <c r="J44" s="7">
        <f>G2</f>
        <v>0</v>
      </c>
      <c r="M44" s="30"/>
      <c r="N44" s="8">
        <f t="shared" si="3"/>
        <v>0</v>
      </c>
      <c r="O44" s="30">
        <f>-N44</f>
        <v>0</v>
      </c>
      <c r="P44" s="7">
        <f t="shared" si="4"/>
        <v>0</v>
      </c>
      <c r="Q44" s="3"/>
      <c r="S44" s="7">
        <f t="shared" si="1"/>
        <v>0</v>
      </c>
      <c r="T44" s="30">
        <f t="shared" ref="T44:T55" si="7">-N44</f>
        <v>0</v>
      </c>
      <c r="Y44" s="8">
        <f t="shared" si="6"/>
        <v>0</v>
      </c>
    </row>
    <row r="45" spans="1:25" s="40" customFormat="1" x14ac:dyDescent="0.25">
      <c r="A45" s="39"/>
      <c r="B45" s="2"/>
      <c r="D45" s="16"/>
      <c r="E45" s="30"/>
      <c r="F45" s="8"/>
      <c r="J45" s="17"/>
      <c r="M45" s="30">
        <f>F45</f>
        <v>0</v>
      </c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x14ac:dyDescent="0.25">
      <c r="A46" s="39" t="s">
        <v>33</v>
      </c>
      <c r="B46" s="2"/>
      <c r="C46" s="27" t="s">
        <v>80</v>
      </c>
      <c r="D46" s="41"/>
      <c r="E46" s="30"/>
      <c r="F46" s="8"/>
      <c r="J46" s="17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ht="15.75" x14ac:dyDescent="0.25">
      <c r="A47" s="39"/>
      <c r="B47" s="2"/>
      <c r="C47" s="49" t="s">
        <v>81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s="40" customFormat="1" x14ac:dyDescent="0.25">
      <c r="A48" s="39"/>
      <c r="B48" s="2"/>
      <c r="C48" s="50" t="s">
        <v>82</v>
      </c>
      <c r="D48" s="43"/>
      <c r="E48" s="30"/>
      <c r="F48" s="8"/>
      <c r="M48" s="17"/>
      <c r="N48" s="8">
        <f t="shared" si="3"/>
        <v>0</v>
      </c>
      <c r="O48" s="17"/>
      <c r="P48" s="7">
        <f t="shared" si="4"/>
        <v>0</v>
      </c>
      <c r="Q48" s="3"/>
      <c r="S48" s="7">
        <f t="shared" si="1"/>
        <v>0</v>
      </c>
      <c r="T48" s="30">
        <f t="shared" si="7"/>
        <v>0</v>
      </c>
      <c r="Y48" s="17">
        <f t="shared" si="6"/>
        <v>0</v>
      </c>
    </row>
    <row r="49" spans="1:25" x14ac:dyDescent="0.25">
      <c r="A49" s="1" t="s">
        <v>83</v>
      </c>
      <c r="B49" s="2" t="s">
        <v>84</v>
      </c>
      <c r="C49" s="51" t="s">
        <v>85</v>
      </c>
      <c r="D49" s="16">
        <f>+'[4]Plantilla Ejecución  '!$B$8</f>
        <v>0</v>
      </c>
      <c r="E49" s="8"/>
      <c r="F49" s="8"/>
      <c r="H49" s="3" t="s">
        <v>49</v>
      </c>
      <c r="I49" s="3" t="str">
        <f t="shared" ref="I49:I54" si="8">+C49</f>
        <v>Sueldos fijos</v>
      </c>
      <c r="J49" s="7">
        <f>D49</f>
        <v>0</v>
      </c>
      <c r="M49" s="7">
        <f>F49</f>
        <v>0</v>
      </c>
      <c r="N49" s="8">
        <f t="shared" si="3"/>
        <v>0</v>
      </c>
      <c r="O49" s="7">
        <f t="shared" ref="O49:O115" si="9">-N49</f>
        <v>0</v>
      </c>
      <c r="P49" s="7">
        <f t="shared" si="4"/>
        <v>0</v>
      </c>
      <c r="S49" s="7">
        <f t="shared" si="1"/>
        <v>0</v>
      </c>
      <c r="T49" s="30">
        <f t="shared" si="7"/>
        <v>0</v>
      </c>
      <c r="U49" s="7">
        <f>N49</f>
        <v>0</v>
      </c>
      <c r="V49" s="7"/>
      <c r="Y49" s="7">
        <f t="shared" si="6"/>
        <v>0</v>
      </c>
    </row>
    <row r="50" spans="1:25" x14ac:dyDescent="0.25">
      <c r="A50" s="1" t="s">
        <v>83</v>
      </c>
      <c r="B50" s="2" t="s">
        <v>86</v>
      </c>
      <c r="C50" s="51" t="s">
        <v>394</v>
      </c>
      <c r="D50" s="16"/>
      <c r="E50" s="8"/>
      <c r="F50" s="8"/>
      <c r="H50" s="3" t="s">
        <v>49</v>
      </c>
      <c r="I50" s="3" t="str">
        <f t="shared" si="8"/>
        <v>Empleados temporales</v>
      </c>
      <c r="J50" s="7">
        <f>+D50</f>
        <v>0</v>
      </c>
      <c r="M50" s="7">
        <f t="shared" ref="M50:M116" si="10">F50</f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ref="U50:U66" si="11">+O50</f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52</v>
      </c>
      <c r="C51" s="51" t="s">
        <v>395</v>
      </c>
      <c r="D51" s="16"/>
      <c r="E51" s="8"/>
      <c r="F51" s="8"/>
      <c r="H51" s="3" t="s">
        <v>49</v>
      </c>
      <c r="I51" s="3" t="str">
        <f t="shared" si="8"/>
        <v>Interinato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2" t="s">
        <v>56</v>
      </c>
      <c r="C52" s="51" t="s">
        <v>87</v>
      </c>
      <c r="D52" s="16">
        <v>0</v>
      </c>
      <c r="E52" s="8"/>
      <c r="F52" s="8"/>
      <c r="H52" s="3" t="s">
        <v>49</v>
      </c>
      <c r="I52" s="3" t="str">
        <f t="shared" si="8"/>
        <v>Sueldo anual no. 13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52" t="s">
        <v>88</v>
      </c>
      <c r="C53" s="3" t="s">
        <v>89</v>
      </c>
      <c r="D53" s="16">
        <v>0</v>
      </c>
      <c r="E53" s="8"/>
      <c r="F53" s="8"/>
      <c r="I53" s="3" t="str">
        <f t="shared" si="8"/>
        <v>Prestaciones económicas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83</v>
      </c>
      <c r="B54" s="2" t="s">
        <v>90</v>
      </c>
      <c r="C54" s="51" t="s">
        <v>91</v>
      </c>
      <c r="D54" s="16">
        <v>0</v>
      </c>
      <c r="E54" s="8"/>
      <c r="F54" s="8"/>
      <c r="H54" s="3" t="s">
        <v>49</v>
      </c>
      <c r="I54" s="3" t="str">
        <f t="shared" si="8"/>
        <v>Proporción de vacaciones no disfrutadas</v>
      </c>
      <c r="J54" s="7">
        <f>+D54</f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T54" s="30">
        <f t="shared" si="7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92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T55" s="30">
        <f t="shared" si="7"/>
        <v>0</v>
      </c>
      <c r="Y55" s="17">
        <f t="shared" si="6"/>
        <v>0</v>
      </c>
    </row>
    <row r="56" spans="1:25" x14ac:dyDescent="0.25">
      <c r="A56" s="1" t="s">
        <v>83</v>
      </c>
      <c r="B56" s="2" t="s">
        <v>93</v>
      </c>
      <c r="C56" s="51" t="s">
        <v>94</v>
      </c>
      <c r="D56" s="16">
        <v>0</v>
      </c>
      <c r="E56" s="8"/>
      <c r="F56" s="8"/>
      <c r="H56" s="3" t="s">
        <v>49</v>
      </c>
      <c r="I56" s="3" t="str">
        <f t="shared" ref="I56:J59" si="12">+C56</f>
        <v>Compensación por horas extraordinarias</v>
      </c>
      <c r="J56" s="7">
        <f t="shared" si="12"/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>SUM(N56:R56)</f>
        <v>0</v>
      </c>
      <c r="U56" s="7">
        <f t="shared" si="11"/>
        <v>0</v>
      </c>
      <c r="V56" s="7"/>
      <c r="Y56" s="7">
        <f t="shared" si="6"/>
        <v>0</v>
      </c>
    </row>
    <row r="57" spans="1:25" x14ac:dyDescent="0.25">
      <c r="A57" s="1" t="s">
        <v>83</v>
      </c>
      <c r="C57" s="51" t="s">
        <v>396</v>
      </c>
      <c r="D57" s="16"/>
      <c r="E57" s="8"/>
      <c r="F57" s="8"/>
      <c r="J57" s="7"/>
      <c r="M57" s="7"/>
      <c r="N57" s="8"/>
      <c r="O57" s="7"/>
      <c r="P57" s="7"/>
      <c r="S57" s="7"/>
      <c r="U57" s="7"/>
      <c r="V57" s="7"/>
      <c r="Y57" s="7"/>
    </row>
    <row r="58" spans="1:25" x14ac:dyDescent="0.25">
      <c r="A58" s="1" t="s">
        <v>83</v>
      </c>
      <c r="B58" s="2" t="s">
        <v>60</v>
      </c>
      <c r="C58" s="51" t="s">
        <v>95</v>
      </c>
      <c r="D58" s="16"/>
      <c r="E58" s="8"/>
      <c r="F58" s="8"/>
      <c r="H58" s="3" t="s">
        <v>49</v>
      </c>
      <c r="I58" s="3" t="str">
        <f t="shared" si="12"/>
        <v>Compensación por servicio de seguridad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x14ac:dyDescent="0.25">
      <c r="A59" s="1" t="s">
        <v>83</v>
      </c>
      <c r="B59" s="2" t="s">
        <v>96</v>
      </c>
      <c r="C59" s="51" t="s">
        <v>97</v>
      </c>
      <c r="D59" s="16">
        <v>0</v>
      </c>
      <c r="E59" s="8"/>
      <c r="F59" s="8"/>
      <c r="H59" s="3" t="s">
        <v>49</v>
      </c>
      <c r="I59" s="3" t="str">
        <f t="shared" si="12"/>
        <v>Bono por desempeño</v>
      </c>
      <c r="J59" s="7">
        <f t="shared" si="12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/>
      <c r="Y59" s="7">
        <f t="shared" si="6"/>
        <v>0</v>
      </c>
    </row>
    <row r="60" spans="1:25" s="40" customFormat="1" x14ac:dyDescent="0.25">
      <c r="A60" s="39"/>
      <c r="B60" s="2"/>
      <c r="C60" s="50" t="s">
        <v>98</v>
      </c>
      <c r="D60" s="41"/>
      <c r="E60" s="30"/>
      <c r="F60" s="8"/>
      <c r="J60" s="17"/>
      <c r="M60" s="7">
        <f t="shared" si="10"/>
        <v>0</v>
      </c>
      <c r="N60" s="8">
        <f t="shared" si="3"/>
        <v>0</v>
      </c>
      <c r="O60" s="17">
        <f t="shared" si="9"/>
        <v>0</v>
      </c>
      <c r="P60" s="7">
        <f t="shared" si="4"/>
        <v>0</v>
      </c>
      <c r="Q60" s="3"/>
      <c r="S60" s="7">
        <f t="shared" si="1"/>
        <v>0</v>
      </c>
      <c r="Y60" s="17">
        <f t="shared" si="6"/>
        <v>0</v>
      </c>
    </row>
    <row r="61" spans="1:25" x14ac:dyDescent="0.25">
      <c r="A61" s="1" t="s">
        <v>83</v>
      </c>
      <c r="B61" s="2" t="s">
        <v>99</v>
      </c>
      <c r="C61" s="51" t="s">
        <v>100</v>
      </c>
      <c r="D61" s="16">
        <v>0</v>
      </c>
      <c r="E61" s="8"/>
      <c r="F61" s="8"/>
      <c r="H61" s="3" t="s">
        <v>49</v>
      </c>
      <c r="I61" s="3" t="str">
        <f>+C61</f>
        <v>Gratificaciones por aniversario de institución</v>
      </c>
      <c r="J61" s="7">
        <f>+D61</f>
        <v>0</v>
      </c>
      <c r="M61" s="7">
        <f t="shared" si="10"/>
        <v>0</v>
      </c>
      <c r="N61" s="8">
        <f t="shared" si="3"/>
        <v>0</v>
      </c>
      <c r="O61" s="7">
        <f t="shared" si="9"/>
        <v>0</v>
      </c>
      <c r="P61" s="7">
        <f t="shared" si="4"/>
        <v>0</v>
      </c>
      <c r="S61" s="7">
        <f t="shared" si="1"/>
        <v>0</v>
      </c>
      <c r="U61" s="7">
        <f t="shared" si="11"/>
        <v>0</v>
      </c>
      <c r="V61" s="7"/>
      <c r="Y61" s="7">
        <f t="shared" si="6"/>
        <v>0</v>
      </c>
    </row>
    <row r="62" spans="1:25" s="40" customFormat="1" x14ac:dyDescent="0.25">
      <c r="A62" s="39"/>
      <c r="B62" s="2"/>
      <c r="C62" s="50" t="s">
        <v>101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U62" s="7">
        <f t="shared" si="11"/>
        <v>0</v>
      </c>
      <c r="Y62" s="17">
        <f t="shared" si="6"/>
        <v>0</v>
      </c>
    </row>
    <row r="63" spans="1:25" x14ac:dyDescent="0.25">
      <c r="A63" s="1" t="s">
        <v>83</v>
      </c>
      <c r="B63" s="2" t="s">
        <v>62</v>
      </c>
      <c r="C63" s="51" t="s">
        <v>102</v>
      </c>
      <c r="D63" s="53"/>
      <c r="E63" s="8"/>
      <c r="F63" s="8"/>
      <c r="H63" s="3" t="s">
        <v>49</v>
      </c>
      <c r="I63" s="3" t="str">
        <f t="shared" ref="I63:J65" si="13">+C63</f>
        <v>Contribuciones al seguro de salud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/>
      <c r="V63" s="7">
        <f>N63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103</v>
      </c>
      <c r="D64" s="16"/>
      <c r="E64" s="8"/>
      <c r="F64" s="8"/>
      <c r="H64" s="3" t="s">
        <v>49</v>
      </c>
      <c r="I64" s="3" t="str">
        <f t="shared" si="13"/>
        <v xml:space="preserve">Contribuciones al seguro de pensiones 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x14ac:dyDescent="0.25">
      <c r="A65" s="1" t="s">
        <v>83</v>
      </c>
      <c r="C65" s="51" t="s">
        <v>104</v>
      </c>
      <c r="D65" s="16"/>
      <c r="E65" s="8"/>
      <c r="F65" s="8"/>
      <c r="H65" s="3" t="s">
        <v>49</v>
      </c>
      <c r="I65" s="3" t="str">
        <f t="shared" si="13"/>
        <v>Contribuciones al seguro de riesgo laboral</v>
      </c>
      <c r="J65" s="7">
        <f t="shared" si="13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>SUM(N65:R65)</f>
        <v>0</v>
      </c>
      <c r="U65" s="7">
        <f t="shared" si="11"/>
        <v>0</v>
      </c>
      <c r="V65" s="7">
        <f>+O65</f>
        <v>0</v>
      </c>
      <c r="Y65" s="7">
        <f t="shared" si="6"/>
        <v>0</v>
      </c>
    </row>
    <row r="66" spans="1:25" s="40" customFormat="1" ht="15.75" x14ac:dyDescent="0.25">
      <c r="A66" s="39"/>
      <c r="B66" s="2"/>
      <c r="C66" s="49" t="s">
        <v>105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U66" s="7">
        <f t="shared" si="11"/>
        <v>0</v>
      </c>
      <c r="Y66" s="17">
        <f t="shared" ref="Y66:Y131" si="14">SUM(T66:X66)-O66</f>
        <v>0</v>
      </c>
    </row>
    <row r="67" spans="1:25" s="40" customFormat="1" x14ac:dyDescent="0.25">
      <c r="A67" s="39"/>
      <c r="B67" s="2"/>
      <c r="C67" s="50" t="s">
        <v>106</v>
      </c>
      <c r="D67" s="41"/>
      <c r="E67" s="30"/>
      <c r="F67" s="8"/>
      <c r="J67" s="17"/>
      <c r="M67" s="7">
        <f t="shared" si="10"/>
        <v>0</v>
      </c>
      <c r="N67" s="8">
        <f t="shared" si="3"/>
        <v>0</v>
      </c>
      <c r="O67" s="17">
        <f t="shared" si="9"/>
        <v>0</v>
      </c>
      <c r="P67" s="7">
        <f t="shared" si="4"/>
        <v>0</v>
      </c>
      <c r="Q67" s="3"/>
      <c r="S67" s="7">
        <f t="shared" si="1"/>
        <v>0</v>
      </c>
      <c r="Y67" s="17">
        <f t="shared" si="14"/>
        <v>0</v>
      </c>
    </row>
    <row r="68" spans="1:25" x14ac:dyDescent="0.25">
      <c r="A68" s="1" t="s">
        <v>107</v>
      </c>
      <c r="C68" s="51" t="s">
        <v>108</v>
      </c>
      <c r="D68" s="16">
        <f>+'[4]Plantilla Ejecución  '!$B$14</f>
        <v>22180071</v>
      </c>
      <c r="E68" s="8"/>
      <c r="F68" s="8"/>
      <c r="H68" s="3" t="s">
        <v>49</v>
      </c>
      <c r="I68" s="3" t="str">
        <f t="shared" ref="I68:J74" si="15">+C68</f>
        <v>Servicios telefónico de larga distancia</v>
      </c>
      <c r="J68" s="7">
        <f t="shared" si="15"/>
        <v>22180071</v>
      </c>
      <c r="M68" s="7">
        <f t="shared" si="10"/>
        <v>0</v>
      </c>
      <c r="N68" s="8">
        <f t="shared" si="3"/>
        <v>22180071</v>
      </c>
      <c r="O68" s="7">
        <f t="shared" si="9"/>
        <v>-22180071</v>
      </c>
      <c r="P68" s="7">
        <f t="shared" si="4"/>
        <v>-22180071</v>
      </c>
      <c r="S68" s="7">
        <f t="shared" si="1"/>
        <v>-22180071</v>
      </c>
      <c r="W68" s="7">
        <f>+O68</f>
        <v>-22180071</v>
      </c>
      <c r="Y68" s="7">
        <f t="shared" si="14"/>
        <v>0</v>
      </c>
    </row>
    <row r="69" spans="1:25" x14ac:dyDescent="0.25">
      <c r="A69" s="1" t="s">
        <v>107</v>
      </c>
      <c r="C69" s="51" t="s">
        <v>109</v>
      </c>
      <c r="D69" s="16"/>
      <c r="E69" s="8"/>
      <c r="F69" s="8"/>
      <c r="H69" s="3" t="s">
        <v>49</v>
      </c>
      <c r="I69" s="3" t="str">
        <f t="shared" si="15"/>
        <v>Teléfono local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110</v>
      </c>
      <c r="D70" s="16"/>
      <c r="E70" s="8"/>
      <c r="F70" s="8"/>
      <c r="H70" s="3" t="s">
        <v>49</v>
      </c>
      <c r="I70" s="3" t="str">
        <f t="shared" si="15"/>
        <v>Telefax y correo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111</v>
      </c>
      <c r="D71" s="16"/>
      <c r="E71" s="8"/>
      <c r="F71" s="8"/>
      <c r="H71" s="3" t="s">
        <v>49</v>
      </c>
      <c r="I71" s="3" t="str">
        <f t="shared" si="15"/>
        <v>Servicio de internet y televisión por cable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112</v>
      </c>
      <c r="D72" s="16"/>
      <c r="E72" s="8"/>
      <c r="F72" s="8"/>
      <c r="H72" s="3" t="s">
        <v>49</v>
      </c>
      <c r="I72" s="3" t="str">
        <f t="shared" si="15"/>
        <v>Energía eléctrica</v>
      </c>
      <c r="J72" s="7">
        <f t="shared" si="15"/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107</v>
      </c>
      <c r="C73" s="51" t="s">
        <v>399</v>
      </c>
      <c r="D73" s="16"/>
      <c r="E73" s="8"/>
      <c r="F73" s="8"/>
      <c r="I73" s="3" t="str">
        <f t="shared" si="15"/>
        <v>Agua potable</v>
      </c>
      <c r="J73" s="7"/>
      <c r="M73" s="7"/>
      <c r="N73" s="8"/>
      <c r="O73" s="7"/>
      <c r="P73" s="7"/>
      <c r="S73" s="7"/>
      <c r="W73" s="7"/>
      <c r="Y73" s="7"/>
    </row>
    <row r="74" spans="1:25" x14ac:dyDescent="0.25">
      <c r="A74" s="1" t="s">
        <v>107</v>
      </c>
      <c r="C74" s="51" t="s">
        <v>400</v>
      </c>
      <c r="D74" s="16"/>
      <c r="E74" s="8"/>
      <c r="F74" s="8"/>
      <c r="I74" s="3" t="str">
        <f t="shared" si="15"/>
        <v>Recolección de Residuos</v>
      </c>
      <c r="J74" s="7"/>
      <c r="M74" s="7"/>
      <c r="N74" s="8"/>
      <c r="O74" s="7"/>
      <c r="P74" s="7"/>
      <c r="S74" s="7"/>
      <c r="W74" s="7"/>
      <c r="Y74" s="7"/>
    </row>
    <row r="75" spans="1:25" s="40" customFormat="1" x14ac:dyDescent="0.25">
      <c r="A75" s="39"/>
      <c r="B75" s="2"/>
      <c r="C75" s="50" t="s">
        <v>113</v>
      </c>
      <c r="D75" s="41"/>
      <c r="E75" s="30"/>
      <c r="F75" s="8"/>
      <c r="J75" s="17"/>
      <c r="M75" s="7">
        <f t="shared" si="10"/>
        <v>0</v>
      </c>
      <c r="N75" s="8">
        <f t="shared" si="3"/>
        <v>0</v>
      </c>
      <c r="O75" s="17">
        <f t="shared" si="9"/>
        <v>0</v>
      </c>
      <c r="P75" s="7">
        <f t="shared" si="4"/>
        <v>0</v>
      </c>
      <c r="Q75" s="3"/>
      <c r="S75" s="7">
        <f>SUM(N75:R75)</f>
        <v>0</v>
      </c>
      <c r="Y75" s="17">
        <f t="shared" si="14"/>
        <v>0</v>
      </c>
    </row>
    <row r="76" spans="1:25" x14ac:dyDescent="0.25">
      <c r="A76" s="1" t="s">
        <v>107</v>
      </c>
      <c r="C76" s="51" t="s">
        <v>114</v>
      </c>
      <c r="D76" s="16"/>
      <c r="E76" s="8"/>
      <c r="F76" s="8"/>
      <c r="H76" s="3" t="s">
        <v>49</v>
      </c>
      <c r="I76" s="3" t="str">
        <f>+C76</f>
        <v>Publicidad y propaganda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x14ac:dyDescent="0.25">
      <c r="A77" s="1" t="s">
        <v>107</v>
      </c>
      <c r="C77" s="51" t="s">
        <v>115</v>
      </c>
      <c r="D77" s="16"/>
      <c r="E77" s="8"/>
      <c r="F77" s="8"/>
      <c r="H77" s="3" t="s">
        <v>49</v>
      </c>
      <c r="I77" s="3" t="str">
        <f>+C77</f>
        <v>Impresión y encuadernación</v>
      </c>
      <c r="J77" s="7">
        <f>+D77</f>
        <v>0</v>
      </c>
      <c r="M77" s="7">
        <f t="shared" si="10"/>
        <v>0</v>
      </c>
      <c r="N77" s="8">
        <f t="shared" si="3"/>
        <v>0</v>
      </c>
      <c r="O77" s="7">
        <f t="shared" si="9"/>
        <v>0</v>
      </c>
      <c r="P77" s="7">
        <f t="shared" si="4"/>
        <v>0</v>
      </c>
      <c r="S77" s="7">
        <f t="shared" si="1"/>
        <v>0</v>
      </c>
      <c r="W77" s="7">
        <f>+O77</f>
        <v>0</v>
      </c>
      <c r="Y77" s="7">
        <f t="shared" si="14"/>
        <v>0</v>
      </c>
    </row>
    <row r="78" spans="1:25" s="40" customFormat="1" x14ac:dyDescent="0.25">
      <c r="A78" s="39"/>
      <c r="B78" s="2"/>
      <c r="C78" s="50" t="s">
        <v>116</v>
      </c>
      <c r="D78" s="41"/>
      <c r="E78" s="30"/>
      <c r="F78" s="8"/>
      <c r="J78" s="17"/>
      <c r="M78" s="7">
        <f t="shared" si="10"/>
        <v>0</v>
      </c>
      <c r="N78" s="8">
        <f t="shared" si="3"/>
        <v>0</v>
      </c>
      <c r="O78" s="17">
        <f t="shared" si="9"/>
        <v>0</v>
      </c>
      <c r="P78" s="7">
        <f t="shared" si="4"/>
        <v>0</v>
      </c>
      <c r="Q78" s="3"/>
      <c r="S78" s="7">
        <f t="shared" si="1"/>
        <v>0</v>
      </c>
      <c r="Y78" s="17">
        <f t="shared" si="14"/>
        <v>0</v>
      </c>
    </row>
    <row r="79" spans="1:25" x14ac:dyDescent="0.25">
      <c r="A79" s="1" t="s">
        <v>107</v>
      </c>
      <c r="C79" s="51" t="s">
        <v>117</v>
      </c>
      <c r="D79" s="16"/>
      <c r="E79" s="8"/>
      <c r="F79" s="8"/>
      <c r="H79" s="3" t="s">
        <v>49</v>
      </c>
      <c r="I79" s="3" t="str">
        <f>+C79</f>
        <v>Viáticos dentro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107</v>
      </c>
      <c r="C80" s="51" t="s">
        <v>118</v>
      </c>
      <c r="D80" s="16"/>
      <c r="E80" s="8"/>
      <c r="F80" s="8"/>
      <c r="H80" s="3" t="s">
        <v>49</v>
      </c>
      <c r="I80" s="3" t="str">
        <f>+C80</f>
        <v>Viáticos fuera del país</v>
      </c>
      <c r="J80" s="7">
        <f>+D80</f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119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"/>
        <v>0</v>
      </c>
      <c r="Y81" s="17">
        <f t="shared" si="14"/>
        <v>0</v>
      </c>
    </row>
    <row r="82" spans="1:25" x14ac:dyDescent="0.25">
      <c r="A82" s="1" t="s">
        <v>107</v>
      </c>
      <c r="C82" s="3" t="s">
        <v>120</v>
      </c>
      <c r="D82" s="16"/>
      <c r="E82" s="8"/>
      <c r="F82" s="8"/>
      <c r="H82" s="3" t="s">
        <v>49</v>
      </c>
      <c r="I82" s="3" t="str">
        <f>+C82</f>
        <v>Pasajes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si="1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107</v>
      </c>
      <c r="C83" s="3" t="s">
        <v>121</v>
      </c>
      <c r="D83" s="16"/>
      <c r="E83" s="8"/>
      <c r="F83" s="8"/>
      <c r="H83" s="3" t="s">
        <v>49</v>
      </c>
      <c r="I83" s="3" t="str">
        <f>+C83</f>
        <v>Peajes</v>
      </c>
      <c r="J83" s="7">
        <f>+D83</f>
        <v>0</v>
      </c>
      <c r="M83" s="7">
        <f t="shared" si="10"/>
        <v>0</v>
      </c>
      <c r="N83" s="8">
        <f t="shared" si="3"/>
        <v>0</v>
      </c>
      <c r="O83" s="7">
        <f t="shared" si="9"/>
        <v>0</v>
      </c>
      <c r="P83" s="7">
        <f t="shared" si="4"/>
        <v>0</v>
      </c>
      <c r="S83" s="7">
        <f t="shared" ref="S83:S89" si="16">SUM(N83:R83)</f>
        <v>0</v>
      </c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122</v>
      </c>
      <c r="D84" s="41"/>
      <c r="E84" s="30"/>
      <c r="F84" s="8"/>
      <c r="J84" s="17"/>
      <c r="M84" s="7">
        <f t="shared" si="10"/>
        <v>0</v>
      </c>
      <c r="N84" s="8">
        <f t="shared" si="3"/>
        <v>0</v>
      </c>
      <c r="O84" s="17">
        <f t="shared" si="9"/>
        <v>0</v>
      </c>
      <c r="P84" s="7">
        <f t="shared" si="4"/>
        <v>0</v>
      </c>
      <c r="Q84" s="3"/>
      <c r="S84" s="7">
        <f t="shared" si="16"/>
        <v>0</v>
      </c>
      <c r="Y84" s="17">
        <f t="shared" si="14"/>
        <v>0</v>
      </c>
    </row>
    <row r="85" spans="1:25" x14ac:dyDescent="0.25">
      <c r="A85" s="1" t="s">
        <v>107</v>
      </c>
      <c r="C85" s="51" t="s">
        <v>123</v>
      </c>
      <c r="D85" s="16"/>
      <c r="E85" s="8"/>
      <c r="F85" s="8"/>
      <c r="H85" s="3" t="s">
        <v>49</v>
      </c>
      <c r="I85" s="3" t="str">
        <f t="shared" ref="I85:J87" si="17">+C85</f>
        <v>Edificios y locales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B86" s="54" t="s">
        <v>124</v>
      </c>
      <c r="C86" s="3" t="s">
        <v>125</v>
      </c>
      <c r="D86" s="16"/>
      <c r="E86" s="8"/>
      <c r="F86" s="8"/>
      <c r="H86" s="3" t="s">
        <v>49</v>
      </c>
      <c r="I86" s="3" t="str">
        <f t="shared" si="17"/>
        <v>Alquiler de vehículo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107</v>
      </c>
      <c r="C87" s="51" t="s">
        <v>126</v>
      </c>
      <c r="D87" s="16"/>
      <c r="E87" s="8"/>
      <c r="F87" s="8"/>
      <c r="H87" s="3" t="s">
        <v>49</v>
      </c>
      <c r="I87" s="3" t="str">
        <f t="shared" si="17"/>
        <v>Otros alquileres</v>
      </c>
      <c r="J87" s="7">
        <f t="shared" si="17"/>
        <v>0</v>
      </c>
      <c r="M87" s="7">
        <f t="shared" si="10"/>
        <v>0</v>
      </c>
      <c r="N87" s="8">
        <f t="shared" si="3"/>
        <v>0</v>
      </c>
      <c r="O87" s="7">
        <f t="shared" si="9"/>
        <v>0</v>
      </c>
      <c r="P87" s="7">
        <f t="shared" si="4"/>
        <v>0</v>
      </c>
      <c r="S87" s="7">
        <f t="shared" si="16"/>
        <v>0</v>
      </c>
      <c r="W87" s="7">
        <f>+O87</f>
        <v>0</v>
      </c>
      <c r="Y87" s="7">
        <f t="shared" si="14"/>
        <v>0</v>
      </c>
    </row>
    <row r="88" spans="1:25" s="40" customFormat="1" x14ac:dyDescent="0.25">
      <c r="A88" s="39"/>
      <c r="B88" s="2"/>
      <c r="C88" s="50" t="s">
        <v>127</v>
      </c>
      <c r="D88" s="41"/>
      <c r="E88" s="30"/>
      <c r="F88" s="8"/>
      <c r="J88" s="17"/>
      <c r="M88" s="7">
        <f t="shared" si="10"/>
        <v>0</v>
      </c>
      <c r="N88" s="8">
        <f t="shared" si="3"/>
        <v>0</v>
      </c>
      <c r="O88" s="17">
        <f t="shared" si="9"/>
        <v>0</v>
      </c>
      <c r="P88" s="7">
        <f t="shared" si="4"/>
        <v>0</v>
      </c>
      <c r="Q88" s="3"/>
      <c r="S88" s="7">
        <f t="shared" si="16"/>
        <v>0</v>
      </c>
      <c r="Y88" s="17">
        <f t="shared" si="14"/>
        <v>0</v>
      </c>
    </row>
    <row r="89" spans="1:25" x14ac:dyDescent="0.25">
      <c r="A89" s="1" t="s">
        <v>107</v>
      </c>
      <c r="C89" s="51" t="s">
        <v>128</v>
      </c>
      <c r="D89" s="16"/>
      <c r="E89" s="8"/>
      <c r="F89" s="8"/>
      <c r="H89" s="3" t="s">
        <v>49</v>
      </c>
      <c r="I89" s="3" t="str">
        <f>+C89</f>
        <v>Seguro de bienes muebles</v>
      </c>
      <c r="J89" s="7">
        <f>+D89</f>
        <v>0</v>
      </c>
      <c r="M89" s="7">
        <f t="shared" si="10"/>
        <v>0</v>
      </c>
      <c r="N89" s="8">
        <f t="shared" ref="N89:N153" si="18">+J89+K89-L89-M89</f>
        <v>0</v>
      </c>
      <c r="O89" s="7">
        <f t="shared" si="9"/>
        <v>0</v>
      </c>
      <c r="P89" s="7">
        <f t="shared" si="4"/>
        <v>0</v>
      </c>
      <c r="S89" s="7">
        <f t="shared" si="16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107</v>
      </c>
      <c r="B90" s="54" t="s">
        <v>129</v>
      </c>
      <c r="C90" s="3" t="s">
        <v>130</v>
      </c>
      <c r="D90" s="16"/>
      <c r="E90" s="8"/>
      <c r="F90" s="8"/>
      <c r="H90" s="3" t="s">
        <v>49</v>
      </c>
      <c r="I90" s="3" t="str">
        <f>+C90</f>
        <v>Seguro de personas</v>
      </c>
      <c r="J90" s="7">
        <f>+D90</f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4"/>
        <v>0</v>
      </c>
      <c r="S90" s="7">
        <f t="shared" ref="S90:S133" si="19">SUM(N90:R90)</f>
        <v>0</v>
      </c>
      <c r="U90" s="7"/>
      <c r="V90" s="7"/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131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4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107</v>
      </c>
      <c r="C92" s="51" t="s">
        <v>132</v>
      </c>
      <c r="D92" s="16"/>
      <c r="E92" s="8"/>
      <c r="F92" s="8"/>
      <c r="H92" s="3" t="s">
        <v>49</v>
      </c>
      <c r="I92" s="3" t="str">
        <f t="shared" ref="I92:J97" si="20">+C92</f>
        <v>Servicios especiales de mantenimiento y reparación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N92</f>
        <v>0</v>
      </c>
      <c r="Y92" s="7">
        <f t="shared" si="14"/>
        <v>0</v>
      </c>
    </row>
    <row r="93" spans="1:25" x14ac:dyDescent="0.25">
      <c r="A93" s="1" t="s">
        <v>107</v>
      </c>
      <c r="B93" s="52" t="s">
        <v>133</v>
      </c>
      <c r="C93" s="3" t="s">
        <v>134</v>
      </c>
      <c r="D93" s="16"/>
      <c r="E93" s="8"/>
      <c r="F93" s="8"/>
      <c r="I93" s="3" t="str">
        <f t="shared" si="20"/>
        <v>Servicios de pintura y derivados con fin de higiene y embellecimiento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4"/>
        <v>0</v>
      </c>
      <c r="S93" s="7">
        <f t="shared" si="19"/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B94" s="55"/>
      <c r="C94" s="3" t="s">
        <v>135</v>
      </c>
      <c r="D94" s="16"/>
      <c r="E94" s="8"/>
      <c r="F94" s="8"/>
      <c r="H94" s="3" t="s">
        <v>49</v>
      </c>
      <c r="I94" s="3" t="str">
        <f t="shared" si="20"/>
        <v>Reparaciones de obras menores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>-N94</f>
        <v>0</v>
      </c>
      <c r="P94" s="7">
        <f t="shared" si="4"/>
        <v>0</v>
      </c>
      <c r="S94" s="7">
        <f>SUM(N94:R94)</f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C95" s="51" t="s">
        <v>136</v>
      </c>
      <c r="D95" s="16"/>
      <c r="E95" s="8"/>
      <c r="F95" s="8"/>
      <c r="H95" s="3" t="s">
        <v>49</v>
      </c>
      <c r="I95" s="3" t="str">
        <f t="shared" si="20"/>
        <v>Mant. y rep. De equipo de oficina y muebles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4"/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B96" s="54" t="s">
        <v>137</v>
      </c>
      <c r="C96" s="3" t="s">
        <v>138</v>
      </c>
      <c r="D96" s="16"/>
      <c r="E96" s="8"/>
      <c r="F96" s="8"/>
      <c r="H96" s="3" t="s">
        <v>49</v>
      </c>
      <c r="I96" s="3" t="str">
        <f t="shared" si="20"/>
        <v>Mant. y rep. De equipo de comunicación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ref="P96:P121" si="21">-N96</f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x14ac:dyDescent="0.25">
      <c r="A97" s="1" t="s">
        <v>107</v>
      </c>
      <c r="C97" s="51" t="s">
        <v>139</v>
      </c>
      <c r="D97" s="16"/>
      <c r="E97" s="8"/>
      <c r="F97" s="8"/>
      <c r="H97" s="3" t="s">
        <v>49</v>
      </c>
      <c r="I97" s="3" t="str">
        <f t="shared" si="20"/>
        <v>Mant. y rep. De equipo de transporte, tracción y elevación</v>
      </c>
      <c r="J97" s="7">
        <f t="shared" si="20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>+O97</f>
        <v>0</v>
      </c>
      <c r="Y97" s="7">
        <f t="shared" si="14"/>
        <v>0</v>
      </c>
    </row>
    <row r="98" spans="1:28" s="40" customFormat="1" x14ac:dyDescent="0.25">
      <c r="A98" s="39"/>
      <c r="B98" s="2"/>
      <c r="C98" s="50" t="s">
        <v>140</v>
      </c>
      <c r="D98" s="41"/>
      <c r="E98" s="30"/>
      <c r="F98" s="8"/>
      <c r="J98" s="17"/>
      <c r="M98" s="7">
        <f t="shared" si="10"/>
        <v>0</v>
      </c>
      <c r="N98" s="8">
        <f t="shared" si="18"/>
        <v>0</v>
      </c>
      <c r="O98" s="17">
        <f t="shared" si="9"/>
        <v>0</v>
      </c>
      <c r="P98" s="7">
        <f t="shared" si="21"/>
        <v>0</v>
      </c>
      <c r="Q98" s="3"/>
      <c r="S98" s="17">
        <f t="shared" si="19"/>
        <v>0</v>
      </c>
      <c r="Y98" s="17">
        <f t="shared" si="14"/>
        <v>0</v>
      </c>
    </row>
    <row r="99" spans="1:28" x14ac:dyDescent="0.25">
      <c r="A99" s="1" t="s">
        <v>107</v>
      </c>
      <c r="C99" s="51" t="s">
        <v>141</v>
      </c>
      <c r="D99" s="16"/>
      <c r="E99" s="8"/>
      <c r="F99" s="8"/>
      <c r="H99" s="3" t="s">
        <v>49</v>
      </c>
      <c r="I99" s="3" t="str">
        <f t="shared" ref="I99:J109" si="22">+C99</f>
        <v>Comisiones y gastos bancarios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ref="W99:W111" si="23">+O99</f>
        <v>0</v>
      </c>
      <c r="Y99" s="7">
        <f t="shared" si="14"/>
        <v>0</v>
      </c>
    </row>
    <row r="100" spans="1:28" x14ac:dyDescent="0.25">
      <c r="A100" s="1" t="s">
        <v>107</v>
      </c>
      <c r="B100" s="54" t="s">
        <v>142</v>
      </c>
      <c r="C100" s="3" t="s">
        <v>143</v>
      </c>
      <c r="D100" s="16"/>
      <c r="E100" s="8"/>
      <c r="F100" s="8"/>
      <c r="H100" s="3" t="s">
        <v>49</v>
      </c>
      <c r="I100" s="3" t="str">
        <f t="shared" si="22"/>
        <v xml:space="preserve">Servicios sanitarios médicos y veterinarios 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C101" s="51" t="s">
        <v>144</v>
      </c>
      <c r="D101" s="16"/>
      <c r="E101" s="8"/>
      <c r="F101" s="8"/>
      <c r="I101" s="3" t="str">
        <f t="shared" si="22"/>
        <v>Fumigación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146</v>
      </c>
      <c r="D102" s="16"/>
      <c r="E102" s="8"/>
      <c r="F102" s="8"/>
      <c r="H102" s="3" t="s">
        <v>49</v>
      </c>
      <c r="I102" s="3" t="str">
        <f t="shared" si="22"/>
        <v>Lavandería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B103" s="2" t="s">
        <v>145</v>
      </c>
      <c r="C103" s="51" t="s">
        <v>147</v>
      </c>
      <c r="D103" s="16"/>
      <c r="E103" s="8"/>
      <c r="F103" s="8"/>
      <c r="H103" s="3" t="s">
        <v>49</v>
      </c>
      <c r="I103" s="3" t="str">
        <f t="shared" si="22"/>
        <v>Limpieza e higiene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148</v>
      </c>
      <c r="D104" s="16"/>
      <c r="E104" s="8"/>
      <c r="F104" s="8"/>
      <c r="H104" s="3" t="s">
        <v>49</v>
      </c>
      <c r="I104" s="3" t="str">
        <f t="shared" si="22"/>
        <v>Eventos generales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149</v>
      </c>
      <c r="D105" s="16"/>
      <c r="E105" s="8"/>
      <c r="F105" s="8"/>
      <c r="H105" s="3" t="s">
        <v>49</v>
      </c>
      <c r="I105" s="3" t="str">
        <f t="shared" si="22"/>
        <v>Festividades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C106" s="51" t="s">
        <v>150</v>
      </c>
      <c r="D106" s="16"/>
      <c r="E106" s="8"/>
      <c r="F106" s="8"/>
      <c r="H106" s="3" t="s">
        <v>49</v>
      </c>
      <c r="I106" s="3" t="str">
        <f t="shared" si="22"/>
        <v>Servicios jurídicos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B107" s="54" t="s">
        <v>151</v>
      </c>
      <c r="C107" s="51" t="s">
        <v>152</v>
      </c>
      <c r="D107" s="16"/>
      <c r="E107" s="8"/>
      <c r="F107" s="8"/>
      <c r="H107" s="3" t="s">
        <v>49</v>
      </c>
      <c r="I107" s="3" t="str">
        <f t="shared" si="22"/>
        <v>Servicios de capacitación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153</v>
      </c>
      <c r="D108" s="16"/>
      <c r="E108" s="8"/>
      <c r="F108" s="8"/>
      <c r="H108" s="3" t="s">
        <v>49</v>
      </c>
      <c r="I108" s="3" t="str">
        <f t="shared" si="22"/>
        <v>Otros servicios técnicos profesionales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x14ac:dyDescent="0.25">
      <c r="A109" s="1" t="s">
        <v>107</v>
      </c>
      <c r="C109" s="51" t="s">
        <v>154</v>
      </c>
      <c r="D109" s="16"/>
      <c r="E109" s="8"/>
      <c r="F109" s="8"/>
      <c r="I109" s="3" t="str">
        <f t="shared" si="22"/>
        <v>Impuestos </v>
      </c>
      <c r="J109" s="7">
        <f t="shared" si="22"/>
        <v>0</v>
      </c>
      <c r="M109" s="7">
        <f t="shared" si="10"/>
        <v>0</v>
      </c>
      <c r="N109" s="8">
        <f t="shared" si="18"/>
        <v>0</v>
      </c>
      <c r="O109" s="7">
        <f t="shared" si="9"/>
        <v>0</v>
      </c>
      <c r="P109" s="7">
        <f t="shared" si="21"/>
        <v>0</v>
      </c>
      <c r="S109" s="7">
        <f t="shared" si="19"/>
        <v>0</v>
      </c>
      <c r="W109" s="7">
        <f t="shared" si="23"/>
        <v>0</v>
      </c>
      <c r="Y109" s="7">
        <f t="shared" si="14"/>
        <v>0</v>
      </c>
    </row>
    <row r="110" spans="1:28" s="40" customFormat="1" x14ac:dyDescent="0.25">
      <c r="A110" s="39"/>
      <c r="B110" s="2"/>
      <c r="C110" s="50" t="s">
        <v>155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ref="AA110:AA160" si="24">+AB110=C110</f>
        <v>1</v>
      </c>
      <c r="AB110" s="56" t="s">
        <v>155</v>
      </c>
    </row>
    <row r="111" spans="1:28" s="40" customFormat="1" x14ac:dyDescent="0.25">
      <c r="A111" s="39"/>
      <c r="B111" s="2"/>
      <c r="C111" s="50" t="s">
        <v>156</v>
      </c>
      <c r="D111" s="41"/>
      <c r="E111" s="30"/>
      <c r="F111" s="8"/>
      <c r="J111" s="17"/>
      <c r="M111" s="7">
        <f t="shared" si="10"/>
        <v>0</v>
      </c>
      <c r="N111" s="8">
        <f t="shared" si="18"/>
        <v>0</v>
      </c>
      <c r="O111" s="17">
        <f t="shared" si="9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3"/>
        <v>0</v>
      </c>
      <c r="Y111" s="17">
        <f t="shared" si="14"/>
        <v>0</v>
      </c>
      <c r="AA111" s="22" t="b">
        <f t="shared" si="24"/>
        <v>1</v>
      </c>
      <c r="AB111" s="56" t="s">
        <v>156</v>
      </c>
    </row>
    <row r="112" spans="1:28" x14ac:dyDescent="0.25">
      <c r="A112" s="1" t="s">
        <v>83</v>
      </c>
      <c r="B112" s="40" t="s">
        <v>157</v>
      </c>
      <c r="C112" s="57" t="s">
        <v>158</v>
      </c>
      <c r="D112" s="16">
        <f>+'[4]Plantilla Ejecución  '!$B$24</f>
        <v>5000000</v>
      </c>
      <c r="E112" s="8"/>
      <c r="F112" s="8"/>
      <c r="H112" s="3" t="s">
        <v>49</v>
      </c>
      <c r="I112" s="3" t="str">
        <f>+C112</f>
        <v>Alimentos y bebidas para personas</v>
      </c>
      <c r="J112" s="7">
        <f>+D112</f>
        <v>5000000</v>
      </c>
      <c r="M112" s="7">
        <f t="shared" si="10"/>
        <v>0</v>
      </c>
      <c r="N112" s="8">
        <f t="shared" si="18"/>
        <v>5000000</v>
      </c>
      <c r="O112" s="7">
        <f t="shared" si="9"/>
        <v>-5000000</v>
      </c>
      <c r="P112" s="7">
        <f t="shared" si="21"/>
        <v>-5000000</v>
      </c>
      <c r="S112" s="7">
        <f t="shared" si="19"/>
        <v>-5000000</v>
      </c>
      <c r="U112" s="7"/>
      <c r="V112" s="7"/>
      <c r="W112" s="7">
        <f>N112</f>
        <v>5000000</v>
      </c>
      <c r="Y112" s="7">
        <f t="shared" si="14"/>
        <v>10000000</v>
      </c>
      <c r="AA112" s="22" t="b">
        <f t="shared" si="24"/>
        <v>1</v>
      </c>
      <c r="AB112" s="57" t="s">
        <v>158</v>
      </c>
    </row>
    <row r="113" spans="1:28" x14ac:dyDescent="0.25">
      <c r="A113" s="1" t="s">
        <v>159</v>
      </c>
      <c r="B113" s="40" t="s">
        <v>160</v>
      </c>
      <c r="C113" s="57" t="s">
        <v>161</v>
      </c>
      <c r="D113" s="16"/>
      <c r="E113" s="8"/>
      <c r="F113" s="8"/>
      <c r="H113" s="3" t="s">
        <v>49</v>
      </c>
      <c r="I113" s="3" t="str">
        <f>+C113</f>
        <v>Productos forestales</v>
      </c>
      <c r="J113" s="7">
        <f>+D113</f>
        <v>0</v>
      </c>
      <c r="M113" s="7">
        <f t="shared" si="10"/>
        <v>0</v>
      </c>
      <c r="N113" s="8">
        <f t="shared" si="18"/>
        <v>0</v>
      </c>
      <c r="O113" s="7">
        <f t="shared" si="9"/>
        <v>0</v>
      </c>
      <c r="P113" s="7">
        <f t="shared" si="21"/>
        <v>0</v>
      </c>
      <c r="S113" s="7">
        <f t="shared" si="19"/>
        <v>0</v>
      </c>
      <c r="U113" s="7"/>
      <c r="V113" s="7"/>
      <c r="W113" s="7">
        <f t="shared" ref="W113:W174" si="25">N113</f>
        <v>0</v>
      </c>
      <c r="Y113" s="7">
        <f t="shared" si="14"/>
        <v>0</v>
      </c>
      <c r="AA113" s="22" t="b">
        <f t="shared" si="24"/>
        <v>1</v>
      </c>
      <c r="AB113" s="57" t="s">
        <v>161</v>
      </c>
    </row>
    <row r="114" spans="1:28" s="40" customFormat="1" x14ac:dyDescent="0.25">
      <c r="A114" s="39"/>
      <c r="C114" s="50" t="s">
        <v>162</v>
      </c>
      <c r="D114" s="41"/>
      <c r="E114" s="30"/>
      <c r="F114" s="8"/>
      <c r="J114" s="17"/>
      <c r="M114" s="7">
        <f t="shared" si="10"/>
        <v>0</v>
      </c>
      <c r="N114" s="8">
        <f t="shared" si="18"/>
        <v>0</v>
      </c>
      <c r="O114" s="17">
        <f t="shared" si="9"/>
        <v>0</v>
      </c>
      <c r="P114" s="7">
        <f t="shared" si="21"/>
        <v>0</v>
      </c>
      <c r="Q114" s="3"/>
      <c r="S114" s="17">
        <f t="shared" si="19"/>
        <v>0</v>
      </c>
      <c r="W114" s="7">
        <f t="shared" si="25"/>
        <v>0</v>
      </c>
      <c r="Y114" s="17">
        <f t="shared" si="14"/>
        <v>0</v>
      </c>
      <c r="AA114" s="22" t="b">
        <f t="shared" si="24"/>
        <v>1</v>
      </c>
      <c r="AB114" s="56" t="s">
        <v>162</v>
      </c>
    </row>
    <row r="115" spans="1:28" x14ac:dyDescent="0.25">
      <c r="A115" s="1" t="s">
        <v>159</v>
      </c>
      <c r="B115" s="40" t="s">
        <v>163</v>
      </c>
      <c r="C115" s="57" t="s">
        <v>164</v>
      </c>
      <c r="D115" s="58"/>
      <c r="E115" s="8"/>
      <c r="F115" s="8"/>
      <c r="H115" s="3" t="s">
        <v>49</v>
      </c>
      <c r="I115" s="3" t="str">
        <f t="shared" ref="I115:J117" si="26">+C115</f>
        <v>Hilados y telas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si="9"/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164</v>
      </c>
    </row>
    <row r="116" spans="1:28" x14ac:dyDescent="0.25">
      <c r="A116" s="1" t="s">
        <v>159</v>
      </c>
      <c r="B116" s="40" t="s">
        <v>165</v>
      </c>
      <c r="C116" s="57" t="s">
        <v>166</v>
      </c>
      <c r="D116" s="16"/>
      <c r="E116" s="8"/>
      <c r="F116" s="8"/>
      <c r="H116" s="3" t="s">
        <v>49</v>
      </c>
      <c r="I116" s="3" t="str">
        <f t="shared" si="26"/>
        <v>Acabados textiles</v>
      </c>
      <c r="J116" s="7">
        <f t="shared" si="26"/>
        <v>0</v>
      </c>
      <c r="M116" s="7">
        <f t="shared" si="10"/>
        <v>0</v>
      </c>
      <c r="N116" s="8">
        <f t="shared" si="18"/>
        <v>0</v>
      </c>
      <c r="O116" s="7">
        <f t="shared" ref="O116:O172" si="27">-N116</f>
        <v>0</v>
      </c>
      <c r="P116" s="7">
        <f t="shared" si="21"/>
        <v>0</v>
      </c>
      <c r="S116" s="7">
        <f t="shared" si="19"/>
        <v>0</v>
      </c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166</v>
      </c>
    </row>
    <row r="117" spans="1:28" x14ac:dyDescent="0.25">
      <c r="A117" s="1" t="s">
        <v>83</v>
      </c>
      <c r="B117" s="40" t="s">
        <v>167</v>
      </c>
      <c r="C117" s="57" t="s">
        <v>168</v>
      </c>
      <c r="D117" s="16"/>
      <c r="E117" s="8"/>
      <c r="F117" s="8"/>
      <c r="H117" s="3" t="s">
        <v>49</v>
      </c>
      <c r="I117" s="3" t="str">
        <f t="shared" si="26"/>
        <v>Prendas de vestir</v>
      </c>
      <c r="J117" s="7">
        <f t="shared" si="26"/>
        <v>0</v>
      </c>
      <c r="M117" s="7">
        <f t="shared" ref="M117:M170" si="28">F117</f>
        <v>0</v>
      </c>
      <c r="N117" s="8">
        <f t="shared" si="18"/>
        <v>0</v>
      </c>
      <c r="O117" s="7">
        <f t="shared" si="27"/>
        <v>0</v>
      </c>
      <c r="P117" s="7">
        <f t="shared" si="21"/>
        <v>0</v>
      </c>
      <c r="S117" s="7">
        <f t="shared" si="19"/>
        <v>0</v>
      </c>
      <c r="U117" s="7">
        <f>+O117</f>
        <v>0</v>
      </c>
      <c r="V117" s="7"/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168</v>
      </c>
    </row>
    <row r="118" spans="1:28" s="40" customFormat="1" x14ac:dyDescent="0.25">
      <c r="A118" s="39"/>
      <c r="C118" s="50" t="s">
        <v>169</v>
      </c>
      <c r="D118" s="41"/>
      <c r="E118" s="30"/>
      <c r="F118" s="8"/>
      <c r="J118" s="17"/>
      <c r="M118" s="7">
        <f t="shared" si="28"/>
        <v>0</v>
      </c>
      <c r="N118" s="8">
        <f t="shared" si="18"/>
        <v>0</v>
      </c>
      <c r="O118" s="17">
        <f t="shared" si="27"/>
        <v>0</v>
      </c>
      <c r="P118" s="7">
        <f t="shared" si="21"/>
        <v>0</v>
      </c>
      <c r="Q118" s="3"/>
      <c r="S118" s="17">
        <f t="shared" si="19"/>
        <v>0</v>
      </c>
      <c r="W118" s="7">
        <f t="shared" si="25"/>
        <v>0</v>
      </c>
      <c r="Y118" s="17">
        <f t="shared" si="14"/>
        <v>0</v>
      </c>
      <c r="AA118" s="22" t="b">
        <f t="shared" si="24"/>
        <v>1</v>
      </c>
      <c r="AB118" s="56" t="s">
        <v>169</v>
      </c>
    </row>
    <row r="119" spans="1:28" x14ac:dyDescent="0.25">
      <c r="A119" s="1" t="s">
        <v>159</v>
      </c>
      <c r="B119" s="40" t="s">
        <v>170</v>
      </c>
      <c r="C119" s="57" t="s">
        <v>171</v>
      </c>
      <c r="D119" s="16"/>
      <c r="E119" s="8"/>
      <c r="F119" s="8"/>
      <c r="H119" s="3" t="s">
        <v>49</v>
      </c>
      <c r="I119" s="3" t="str">
        <f t="shared" ref="I119:J122" si="29">+C119</f>
        <v>Papel de escritorio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171</v>
      </c>
    </row>
    <row r="120" spans="1:28" x14ac:dyDescent="0.25">
      <c r="A120" s="1" t="s">
        <v>159</v>
      </c>
      <c r="B120" s="40" t="s">
        <v>172</v>
      </c>
      <c r="C120" s="57" t="s">
        <v>173</v>
      </c>
      <c r="D120" s="16"/>
      <c r="E120" s="8"/>
      <c r="F120" s="8"/>
      <c r="H120" s="3" t="s">
        <v>49</v>
      </c>
      <c r="I120" s="3" t="str">
        <f t="shared" si="29"/>
        <v>Productos de papel y cartón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173</v>
      </c>
    </row>
    <row r="121" spans="1:28" x14ac:dyDescent="0.25">
      <c r="A121" s="1" t="s">
        <v>159</v>
      </c>
      <c r="B121" s="40" t="s">
        <v>174</v>
      </c>
      <c r="C121" s="57" t="s">
        <v>175</v>
      </c>
      <c r="D121" s="16"/>
      <c r="E121" s="8"/>
      <c r="F121" s="8"/>
      <c r="H121" s="3" t="s">
        <v>49</v>
      </c>
      <c r="I121" s="3" t="str">
        <f t="shared" si="29"/>
        <v>Productos de artes gráficas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>
        <f t="shared" si="21"/>
        <v>0</v>
      </c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175</v>
      </c>
    </row>
    <row r="122" spans="1:28" x14ac:dyDescent="0.25">
      <c r="A122" s="1" t="s">
        <v>83</v>
      </c>
      <c r="B122" s="40" t="s">
        <v>176</v>
      </c>
      <c r="C122" s="57" t="s">
        <v>177</v>
      </c>
      <c r="D122" s="16"/>
      <c r="E122" s="8"/>
      <c r="F122" s="8"/>
      <c r="H122" s="3" t="s">
        <v>49</v>
      </c>
      <c r="I122" s="3" t="str">
        <f t="shared" si="29"/>
        <v>Productos medicinales para uso humano</v>
      </c>
      <c r="J122" s="7">
        <f t="shared" si="29"/>
        <v>0</v>
      </c>
      <c r="M122" s="7">
        <f t="shared" si="28"/>
        <v>0</v>
      </c>
      <c r="N122" s="8">
        <f t="shared" si="18"/>
        <v>0</v>
      </c>
      <c r="O122" s="7">
        <f t="shared" si="27"/>
        <v>0</v>
      </c>
      <c r="P122" s="7"/>
      <c r="Q122" s="7"/>
      <c r="S122" s="7">
        <f t="shared" si="19"/>
        <v>0</v>
      </c>
      <c r="U122" s="7">
        <f>+O122</f>
        <v>0</v>
      </c>
      <c r="V122" s="7"/>
      <c r="W122" s="7">
        <f t="shared" si="25"/>
        <v>0</v>
      </c>
      <c r="Y122" s="7">
        <f t="shared" si="14"/>
        <v>0</v>
      </c>
      <c r="AA122" s="22" t="b">
        <f t="shared" si="24"/>
        <v>1</v>
      </c>
      <c r="AB122" s="57" t="s">
        <v>177</v>
      </c>
    </row>
    <row r="123" spans="1:28" s="40" customFormat="1" x14ac:dyDescent="0.25">
      <c r="A123" s="39"/>
      <c r="C123" s="50" t="s">
        <v>178</v>
      </c>
      <c r="D123" s="41"/>
      <c r="E123" s="30"/>
      <c r="F123" s="8"/>
      <c r="J123" s="17"/>
      <c r="M123" s="7">
        <f t="shared" si="28"/>
        <v>0</v>
      </c>
      <c r="N123" s="8">
        <f t="shared" si="18"/>
        <v>0</v>
      </c>
      <c r="O123" s="17">
        <f t="shared" si="27"/>
        <v>0</v>
      </c>
      <c r="P123" s="17"/>
      <c r="Q123" s="17"/>
      <c r="S123" s="17">
        <f t="shared" si="19"/>
        <v>0</v>
      </c>
      <c r="W123" s="7">
        <f t="shared" si="25"/>
        <v>0</v>
      </c>
      <c r="Y123" s="17">
        <f t="shared" si="14"/>
        <v>0</v>
      </c>
      <c r="AA123" s="22" t="b">
        <f t="shared" si="24"/>
        <v>1</v>
      </c>
      <c r="AB123" s="56" t="s">
        <v>178</v>
      </c>
    </row>
    <row r="124" spans="1:28" x14ac:dyDescent="0.25">
      <c r="A124" s="1" t="s">
        <v>159</v>
      </c>
      <c r="B124" s="40" t="s">
        <v>179</v>
      </c>
      <c r="C124" s="57" t="s">
        <v>180</v>
      </c>
      <c r="D124" s="16"/>
      <c r="E124" s="8"/>
      <c r="F124" s="8"/>
      <c r="H124" s="3" t="s">
        <v>49</v>
      </c>
      <c r="I124" s="3" t="str">
        <f t="shared" ref="I124:J128" si="30">+C124</f>
        <v>Artículos de cuero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180</v>
      </c>
    </row>
    <row r="125" spans="1:28" x14ac:dyDescent="0.25">
      <c r="A125" s="1" t="s">
        <v>159</v>
      </c>
      <c r="B125" s="40" t="e">
        <v>#N/A</v>
      </c>
      <c r="C125" s="57" t="s">
        <v>181</v>
      </c>
      <c r="D125" s="16"/>
      <c r="E125" s="8"/>
      <c r="F125" s="8"/>
      <c r="I125" s="3" t="str">
        <f t="shared" si="30"/>
        <v>Libros, revistas y periódicos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181</v>
      </c>
    </row>
    <row r="126" spans="1:28" x14ac:dyDescent="0.25">
      <c r="A126" s="1" t="s">
        <v>159</v>
      </c>
      <c r="B126" s="40" t="s">
        <v>182</v>
      </c>
      <c r="C126" s="57" t="s">
        <v>183</v>
      </c>
      <c r="D126" s="16"/>
      <c r="E126" s="8"/>
      <c r="F126" s="8"/>
      <c r="H126" s="3" t="s">
        <v>49</v>
      </c>
      <c r="I126" s="3" t="str">
        <f t="shared" si="30"/>
        <v>Llantas y neumáticos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183</v>
      </c>
    </row>
    <row r="127" spans="1:28" x14ac:dyDescent="0.25">
      <c r="A127" s="1" t="s">
        <v>159</v>
      </c>
      <c r="B127" s="40" t="s">
        <v>184</v>
      </c>
      <c r="C127" s="57" t="s">
        <v>185</v>
      </c>
      <c r="D127" s="16"/>
      <c r="E127" s="8"/>
      <c r="F127" s="8"/>
      <c r="H127" s="3" t="s">
        <v>49</v>
      </c>
      <c r="I127" s="3" t="str">
        <f t="shared" si="30"/>
        <v>Artículos de caucho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185</v>
      </c>
    </row>
    <row r="128" spans="1:28" x14ac:dyDescent="0.25">
      <c r="A128" s="1" t="s">
        <v>159</v>
      </c>
      <c r="B128" s="40" t="s">
        <v>186</v>
      </c>
      <c r="C128" s="57" t="s">
        <v>187</v>
      </c>
      <c r="D128" s="16"/>
      <c r="E128" s="8"/>
      <c r="F128" s="8"/>
      <c r="H128" s="3" t="s">
        <v>49</v>
      </c>
      <c r="I128" s="3" t="str">
        <f t="shared" si="30"/>
        <v>Artículos de plástico</v>
      </c>
      <c r="J128" s="7">
        <f t="shared" si="30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19"/>
        <v>0</v>
      </c>
      <c r="W128" s="7">
        <f t="shared" si="25"/>
        <v>0</v>
      </c>
      <c r="Y128" s="7">
        <f t="shared" si="14"/>
        <v>0</v>
      </c>
      <c r="AA128" s="22" t="b">
        <f t="shared" si="24"/>
        <v>1</v>
      </c>
      <c r="AB128" s="57" t="s">
        <v>187</v>
      </c>
    </row>
    <row r="129" spans="1:28" s="40" customFormat="1" x14ac:dyDescent="0.25">
      <c r="A129" s="39"/>
      <c r="C129" s="50" t="s">
        <v>188</v>
      </c>
      <c r="D129" s="41"/>
      <c r="E129" s="30"/>
      <c r="F129" s="8"/>
      <c r="J129" s="17"/>
      <c r="M129" s="7">
        <f t="shared" si="28"/>
        <v>0</v>
      </c>
      <c r="N129" s="8">
        <f t="shared" si="18"/>
        <v>0</v>
      </c>
      <c r="O129" s="17">
        <f t="shared" si="27"/>
        <v>0</v>
      </c>
      <c r="P129" s="17"/>
      <c r="Q129" s="17"/>
      <c r="S129" s="17">
        <f t="shared" si="19"/>
        <v>0</v>
      </c>
      <c r="W129" s="7">
        <f t="shared" si="25"/>
        <v>0</v>
      </c>
      <c r="Y129" s="17">
        <f t="shared" si="14"/>
        <v>0</v>
      </c>
      <c r="AA129" s="22" t="b">
        <f t="shared" si="24"/>
        <v>1</v>
      </c>
      <c r="AB129" s="56" t="s">
        <v>188</v>
      </c>
    </row>
    <row r="130" spans="1:28" x14ac:dyDescent="0.25">
      <c r="A130" s="1" t="s">
        <v>159</v>
      </c>
      <c r="B130" s="40" t="s">
        <v>189</v>
      </c>
      <c r="C130" s="57" t="s">
        <v>190</v>
      </c>
      <c r="D130" s="16"/>
      <c r="E130" s="8"/>
      <c r="F130" s="8"/>
      <c r="H130" s="3" t="s">
        <v>49</v>
      </c>
      <c r="I130" s="3" t="str">
        <f t="shared" ref="I130:J138" si="31">+C130</f>
        <v>Productos de cemento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190</v>
      </c>
    </row>
    <row r="131" spans="1:28" x14ac:dyDescent="0.25">
      <c r="A131" s="1" t="s">
        <v>159</v>
      </c>
      <c r="B131" s="40" t="s">
        <v>191</v>
      </c>
      <c r="C131" s="57" t="s">
        <v>192</v>
      </c>
      <c r="D131" s="16"/>
      <c r="E131" s="8"/>
      <c r="F131" s="8"/>
      <c r="H131" s="3" t="s">
        <v>49</v>
      </c>
      <c r="I131" s="3" t="str">
        <f t="shared" si="31"/>
        <v>Productos de yeso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si="14"/>
        <v>0</v>
      </c>
      <c r="AA131" s="22" t="b">
        <f t="shared" si="24"/>
        <v>1</v>
      </c>
      <c r="AB131" s="57" t="s">
        <v>192</v>
      </c>
    </row>
    <row r="132" spans="1:28" x14ac:dyDescent="0.25">
      <c r="A132" s="1" t="s">
        <v>159</v>
      </c>
      <c r="B132" s="40" t="s">
        <v>193</v>
      </c>
      <c r="C132" s="57" t="s">
        <v>194</v>
      </c>
      <c r="D132" s="16"/>
      <c r="E132" s="8"/>
      <c r="F132" s="8"/>
      <c r="H132" s="3" t="s">
        <v>49</v>
      </c>
      <c r="I132" s="3" t="str">
        <f t="shared" si="31"/>
        <v>Productos de vidrio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ref="Y132:Y160" si="32">SUM(T132:X132)-O132</f>
        <v>0</v>
      </c>
      <c r="AA132" s="22" t="b">
        <f t="shared" si="24"/>
        <v>1</v>
      </c>
      <c r="AB132" s="57" t="s">
        <v>194</v>
      </c>
    </row>
    <row r="133" spans="1:28" x14ac:dyDescent="0.25">
      <c r="A133" s="1" t="s">
        <v>159</v>
      </c>
      <c r="B133" s="40" t="s">
        <v>195</v>
      </c>
      <c r="C133" s="57" t="s">
        <v>196</v>
      </c>
      <c r="D133" s="16"/>
      <c r="E133" s="8"/>
      <c r="F133" s="8"/>
      <c r="H133" s="3" t="s">
        <v>49</v>
      </c>
      <c r="I133" s="3" t="str">
        <f t="shared" si="31"/>
        <v>Productos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19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196</v>
      </c>
    </row>
    <row r="134" spans="1:28" x14ac:dyDescent="0.25">
      <c r="A134" s="1" t="s">
        <v>159</v>
      </c>
      <c r="B134" s="40" t="s">
        <v>197</v>
      </c>
      <c r="C134" s="57" t="s">
        <v>198</v>
      </c>
      <c r="D134" s="16"/>
      <c r="E134" s="8"/>
      <c r="F134" s="8"/>
      <c r="H134" s="3" t="s">
        <v>49</v>
      </c>
      <c r="I134" s="3" t="str">
        <f t="shared" si="31"/>
        <v>Productos no ferrosos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ref="S134:S167" si="33">SUM(N134:R134)</f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198</v>
      </c>
    </row>
    <row r="135" spans="1:28" x14ac:dyDescent="0.25">
      <c r="A135" s="1" t="s">
        <v>159</v>
      </c>
      <c r="B135" s="40" t="e">
        <v>#N/A</v>
      </c>
      <c r="C135" s="57" t="s">
        <v>199</v>
      </c>
      <c r="D135" s="16"/>
      <c r="E135" s="8"/>
      <c r="F135" s="8"/>
      <c r="I135" s="3" t="str">
        <f t="shared" si="31"/>
        <v>Herramientas menores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199</v>
      </c>
    </row>
    <row r="136" spans="1:28" x14ac:dyDescent="0.25">
      <c r="A136" s="1" t="s">
        <v>159</v>
      </c>
      <c r="B136" s="40" t="e">
        <v>#N/A</v>
      </c>
      <c r="C136" s="57" t="s">
        <v>200</v>
      </c>
      <c r="D136" s="16"/>
      <c r="E136" s="8"/>
      <c r="F136" s="8"/>
      <c r="I136" s="3" t="str">
        <f t="shared" si="31"/>
        <v>Productos de hojalata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200</v>
      </c>
    </row>
    <row r="137" spans="1:28" x14ac:dyDescent="0.25">
      <c r="A137" s="1" t="s">
        <v>159</v>
      </c>
      <c r="B137" s="40" t="s">
        <v>201</v>
      </c>
      <c r="C137" s="57" t="s">
        <v>202</v>
      </c>
      <c r="D137" s="16"/>
      <c r="E137" s="8"/>
      <c r="F137" s="8"/>
      <c r="H137" s="3" t="s">
        <v>49</v>
      </c>
      <c r="I137" s="3" t="str">
        <f t="shared" si="31"/>
        <v>Accesorios de metal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202</v>
      </c>
    </row>
    <row r="138" spans="1:28" x14ac:dyDescent="0.25">
      <c r="A138" s="1" t="s">
        <v>159</v>
      </c>
      <c r="B138" s="40" t="e">
        <v>#N/A</v>
      </c>
      <c r="C138" s="57" t="s">
        <v>203</v>
      </c>
      <c r="D138" s="16"/>
      <c r="E138" s="8"/>
      <c r="F138" s="8"/>
      <c r="I138" s="3" t="str">
        <f t="shared" si="31"/>
        <v>Piedra, arcilla y arena</v>
      </c>
      <c r="J138" s="7">
        <f t="shared" si="31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203</v>
      </c>
    </row>
    <row r="139" spans="1:28" s="40" customFormat="1" x14ac:dyDescent="0.25">
      <c r="A139" s="39"/>
      <c r="C139" s="50" t="s">
        <v>204</v>
      </c>
      <c r="D139" s="41"/>
      <c r="E139" s="30"/>
      <c r="F139" s="8"/>
      <c r="J139" s="17"/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204</v>
      </c>
    </row>
    <row r="140" spans="1:28" x14ac:dyDescent="0.25">
      <c r="A140" s="1" t="s">
        <v>159</v>
      </c>
      <c r="B140" s="40" t="s">
        <v>205</v>
      </c>
      <c r="C140" s="57" t="s">
        <v>206</v>
      </c>
      <c r="D140" s="16"/>
      <c r="E140" s="8"/>
      <c r="F140" s="8"/>
      <c r="H140" s="3" t="s">
        <v>49</v>
      </c>
      <c r="I140" s="3" t="str">
        <f t="shared" ref="I140:J156" si="34">+C140</f>
        <v>Gasolina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206</v>
      </c>
    </row>
    <row r="141" spans="1:28" x14ac:dyDescent="0.25">
      <c r="A141" s="1" t="s">
        <v>159</v>
      </c>
      <c r="B141" s="40" t="s">
        <v>207</v>
      </c>
      <c r="C141" s="57" t="s">
        <v>208</v>
      </c>
      <c r="D141" s="16"/>
      <c r="E141" s="8"/>
      <c r="F141" s="8"/>
      <c r="H141" s="3" t="s">
        <v>49</v>
      </c>
      <c r="I141" s="3" t="str">
        <f t="shared" si="34"/>
        <v>Gasoil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208</v>
      </c>
    </row>
    <row r="142" spans="1:28" x14ac:dyDescent="0.25">
      <c r="A142" s="1" t="s">
        <v>159</v>
      </c>
      <c r="B142" s="40"/>
      <c r="C142" s="57" t="s">
        <v>401</v>
      </c>
      <c r="D142" s="16"/>
      <c r="E142" s="8"/>
      <c r="F142" s="8"/>
      <c r="I142" s="3" t="str">
        <f t="shared" si="34"/>
        <v>GLP</v>
      </c>
      <c r="J142" s="7"/>
      <c r="M142" s="7"/>
      <c r="N142" s="8"/>
      <c r="O142" s="7"/>
      <c r="P142" s="7"/>
      <c r="Q142" s="7"/>
      <c r="S142" s="7"/>
      <c r="W142" s="7"/>
      <c r="Y142" s="7"/>
      <c r="AA142" s="22"/>
      <c r="AB142" s="57"/>
    </row>
    <row r="143" spans="1:28" x14ac:dyDescent="0.25">
      <c r="A143" s="1" t="s">
        <v>159</v>
      </c>
      <c r="B143" s="40" t="e">
        <v>#N/A</v>
      </c>
      <c r="C143" s="57" t="s">
        <v>209</v>
      </c>
      <c r="D143" s="16"/>
      <c r="E143" s="8"/>
      <c r="F143" s="8"/>
      <c r="I143" s="3" t="str">
        <f t="shared" si="34"/>
        <v>Aceites y grasas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209</v>
      </c>
    </row>
    <row r="144" spans="1:28" x14ac:dyDescent="0.25">
      <c r="A144" s="1" t="s">
        <v>159</v>
      </c>
      <c r="B144" s="40" t="s">
        <v>210</v>
      </c>
      <c r="C144" s="57" t="s">
        <v>211</v>
      </c>
      <c r="D144" s="16"/>
      <c r="E144" s="8"/>
      <c r="F144" s="8"/>
      <c r="H144" s="3" t="s">
        <v>49</v>
      </c>
      <c r="I144" s="3" t="str">
        <f t="shared" si="34"/>
        <v>Productos químicos de laboratorio y de uso personal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211</v>
      </c>
    </row>
    <row r="145" spans="1:28" x14ac:dyDescent="0.25">
      <c r="A145" s="1" t="s">
        <v>159</v>
      </c>
      <c r="B145" s="40" t="s">
        <v>212</v>
      </c>
      <c r="C145" s="57" t="s">
        <v>213</v>
      </c>
      <c r="D145" s="16"/>
      <c r="E145" s="8"/>
      <c r="F145" s="8"/>
      <c r="H145" s="3" t="s">
        <v>49</v>
      </c>
      <c r="I145" s="3" t="str">
        <f t="shared" si="34"/>
        <v>Insecticidas, fumigantes y otros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213</v>
      </c>
    </row>
    <row r="146" spans="1:28" x14ac:dyDescent="0.25">
      <c r="A146" s="1" t="s">
        <v>159</v>
      </c>
      <c r="B146" s="40" t="s">
        <v>214</v>
      </c>
      <c r="C146" s="57" t="s">
        <v>215</v>
      </c>
      <c r="D146" s="16"/>
      <c r="E146" s="8"/>
      <c r="F146" s="8"/>
      <c r="H146" s="3" t="s">
        <v>49</v>
      </c>
      <c r="I146" s="3" t="str">
        <f t="shared" si="34"/>
        <v>Pinturas, lacas, barnices, diluyentes y absorbentes para pinturas</v>
      </c>
      <c r="J146" s="7">
        <f t="shared" si="34"/>
        <v>0</v>
      </c>
      <c r="M146" s="7">
        <f t="shared" si="28"/>
        <v>0</v>
      </c>
      <c r="N146" s="8">
        <f t="shared" si="18"/>
        <v>0</v>
      </c>
      <c r="O146" s="7">
        <f t="shared" si="27"/>
        <v>0</v>
      </c>
      <c r="P146" s="7"/>
      <c r="Q146" s="7"/>
      <c r="S146" s="7">
        <f t="shared" si="33"/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215</v>
      </c>
    </row>
    <row r="147" spans="1:28" s="40" customFormat="1" x14ac:dyDescent="0.25">
      <c r="A147" s="39"/>
      <c r="C147" s="50" t="s">
        <v>216</v>
      </c>
      <c r="D147" s="41"/>
      <c r="E147" s="30"/>
      <c r="F147" s="8"/>
      <c r="J147" s="7">
        <f t="shared" si="34"/>
        <v>0</v>
      </c>
      <c r="M147" s="7">
        <f t="shared" si="28"/>
        <v>0</v>
      </c>
      <c r="N147" s="8">
        <f t="shared" si="18"/>
        <v>0</v>
      </c>
      <c r="O147" s="17">
        <f t="shared" si="27"/>
        <v>0</v>
      </c>
      <c r="P147" s="17"/>
      <c r="Q147" s="17"/>
      <c r="S147" s="17">
        <f t="shared" si="33"/>
        <v>0</v>
      </c>
      <c r="W147" s="7">
        <f t="shared" si="25"/>
        <v>0</v>
      </c>
      <c r="Y147" s="17">
        <f t="shared" si="32"/>
        <v>0</v>
      </c>
      <c r="AA147" s="22" t="b">
        <f t="shared" si="24"/>
        <v>1</v>
      </c>
      <c r="AB147" s="56" t="s">
        <v>216</v>
      </c>
    </row>
    <row r="148" spans="1:28" x14ac:dyDescent="0.25">
      <c r="A148" s="1" t="s">
        <v>159</v>
      </c>
      <c r="B148" s="40" t="s">
        <v>217</v>
      </c>
      <c r="C148" s="57" t="s">
        <v>218</v>
      </c>
      <c r="D148" s="16"/>
      <c r="E148" s="8"/>
      <c r="F148" s="8"/>
      <c r="H148" s="3" t="s">
        <v>49</v>
      </c>
      <c r="I148" s="3" t="str">
        <f>+C148</f>
        <v>Material para limpieza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218</v>
      </c>
    </row>
    <row r="149" spans="1:28" x14ac:dyDescent="0.25">
      <c r="A149" s="1" t="s">
        <v>159</v>
      </c>
      <c r="B149" s="40" t="s">
        <v>219</v>
      </c>
      <c r="C149" s="57" t="s">
        <v>220</v>
      </c>
      <c r="D149" s="16"/>
      <c r="E149" s="8"/>
      <c r="F149" s="8"/>
      <c r="H149" s="3" t="s">
        <v>49</v>
      </c>
      <c r="I149" s="3" t="str">
        <f>+C149</f>
        <v>Útiles de escritorio, oficina e informática 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220</v>
      </c>
    </row>
    <row r="150" spans="1:28" x14ac:dyDescent="0.25">
      <c r="A150" s="1" t="s">
        <v>159</v>
      </c>
      <c r="B150" s="40" t="s">
        <v>221</v>
      </c>
      <c r="C150" s="57" t="s">
        <v>222</v>
      </c>
      <c r="D150" s="16"/>
      <c r="E150" s="8"/>
      <c r="F150" s="8"/>
      <c r="H150" s="3" t="s">
        <v>49</v>
      </c>
      <c r="I150" s="3" t="str">
        <f>+C150</f>
        <v>Útiles menores médico quirurgicos</v>
      </c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 t="shared" si="27"/>
        <v>0</v>
      </c>
      <c r="P150" s="7"/>
      <c r="Q150" s="7"/>
      <c r="S150" s="7">
        <f t="shared" si="33"/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222</v>
      </c>
    </row>
    <row r="151" spans="1:28" x14ac:dyDescent="0.25">
      <c r="A151" s="1" t="s">
        <v>159</v>
      </c>
      <c r="B151" s="40"/>
      <c r="C151" s="57" t="s">
        <v>223</v>
      </c>
      <c r="D151" s="16"/>
      <c r="E151" s="8"/>
      <c r="F151" s="8"/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>-N151</f>
        <v>0</v>
      </c>
      <c r="P151" s="7"/>
      <c r="Q151" s="7"/>
      <c r="S151" s="7">
        <f>SUM(N151:R151)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224</v>
      </c>
      <c r="C152" s="57" t="s">
        <v>223</v>
      </c>
      <c r="D152" s="16"/>
      <c r="E152" s="8"/>
      <c r="F152" s="8"/>
      <c r="I152" s="3" t="str">
        <f t="shared" ref="I152:J167" si="35">+C152</f>
        <v>Útiles destinados a actividades deportivas y recreativas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223</v>
      </c>
    </row>
    <row r="153" spans="1:28" x14ac:dyDescent="0.25">
      <c r="A153" s="1" t="s">
        <v>159</v>
      </c>
      <c r="B153" s="40" t="s">
        <v>225</v>
      </c>
      <c r="C153" s="57" t="s">
        <v>226</v>
      </c>
      <c r="D153" s="16"/>
      <c r="E153" s="8"/>
      <c r="F153" s="8"/>
      <c r="H153" s="3" t="s">
        <v>49</v>
      </c>
      <c r="I153" s="3" t="str">
        <f t="shared" si="35"/>
        <v>Productos eléctricos y afines</v>
      </c>
      <c r="J153" s="7">
        <f t="shared" si="34"/>
        <v>0</v>
      </c>
      <c r="M153" s="7">
        <f t="shared" si="28"/>
        <v>0</v>
      </c>
      <c r="N153" s="8">
        <f t="shared" si="18"/>
        <v>0</v>
      </c>
      <c r="O153" s="7">
        <f t="shared" si="27"/>
        <v>0</v>
      </c>
      <c r="P153" s="7"/>
      <c r="Q153" s="7"/>
      <c r="S153" s="7">
        <f t="shared" si="33"/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226</v>
      </c>
    </row>
    <row r="154" spans="1:28" x14ac:dyDescent="0.25">
      <c r="A154" s="1" t="s">
        <v>159</v>
      </c>
      <c r="B154" s="40" t="s">
        <v>227</v>
      </c>
      <c r="C154" s="57" t="s">
        <v>228</v>
      </c>
      <c r="D154" s="16"/>
      <c r="E154" s="8"/>
      <c r="F154" s="8"/>
      <c r="H154" s="3" t="s">
        <v>49</v>
      </c>
      <c r="I154" s="3" t="str">
        <f t="shared" si="35"/>
        <v xml:space="preserve">Productos y utiles veterinarios </v>
      </c>
      <c r="J154" s="7">
        <f t="shared" si="34"/>
        <v>0</v>
      </c>
      <c r="M154" s="7">
        <f t="shared" si="28"/>
        <v>0</v>
      </c>
      <c r="N154" s="8">
        <f t="shared" ref="N154:N167" si="36">+J154+K154-L154-M154</f>
        <v>0</v>
      </c>
      <c r="O154" s="7">
        <f>-N154</f>
        <v>0</v>
      </c>
      <c r="P154" s="7"/>
      <c r="Q154" s="7"/>
      <c r="S154" s="7">
        <f>SUM(N154:R154)</f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228</v>
      </c>
    </row>
    <row r="155" spans="1:28" x14ac:dyDescent="0.25">
      <c r="A155" s="1" t="s">
        <v>159</v>
      </c>
      <c r="B155" s="40" t="s">
        <v>229</v>
      </c>
      <c r="C155" s="57" t="s">
        <v>230</v>
      </c>
      <c r="D155" s="16"/>
      <c r="E155" s="8"/>
      <c r="F155" s="8"/>
      <c r="H155" s="3" t="s">
        <v>49</v>
      </c>
      <c r="I155" s="3" t="str">
        <f t="shared" si="35"/>
        <v>Otros repuestos y accesorios menores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W155" s="7">
        <f t="shared" si="25"/>
        <v>0</v>
      </c>
      <c r="Y155" s="7">
        <f t="shared" si="32"/>
        <v>0</v>
      </c>
      <c r="AA155" s="22" t="b">
        <f t="shared" si="24"/>
        <v>1</v>
      </c>
      <c r="AB155" s="57" t="s">
        <v>230</v>
      </c>
    </row>
    <row r="156" spans="1:28" x14ac:dyDescent="0.25">
      <c r="A156" s="1" t="s">
        <v>159</v>
      </c>
      <c r="B156" s="40" t="s">
        <v>231</v>
      </c>
      <c r="C156" s="57" t="s">
        <v>232</v>
      </c>
      <c r="D156" s="16"/>
      <c r="E156" s="8"/>
      <c r="F156" s="8"/>
      <c r="H156" s="3" t="s">
        <v>49</v>
      </c>
      <c r="I156" s="3" t="str">
        <f t="shared" si="35"/>
        <v>Productos y útiles varios</v>
      </c>
      <c r="J156" s="7">
        <f t="shared" si="34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/>
      <c r="V156" s="7"/>
      <c r="W156" s="7">
        <f t="shared" si="25"/>
        <v>0</v>
      </c>
      <c r="Y156" s="7">
        <f t="shared" si="32"/>
        <v>0</v>
      </c>
      <c r="AA156" s="22" t="b">
        <f t="shared" si="24"/>
        <v>0</v>
      </c>
      <c r="AB156" s="57" t="s">
        <v>233</v>
      </c>
    </row>
    <row r="157" spans="1:28" x14ac:dyDescent="0.25">
      <c r="A157" s="1" t="s">
        <v>83</v>
      </c>
      <c r="B157" s="40" t="s">
        <v>234</v>
      </c>
      <c r="C157" s="57" t="s">
        <v>235</v>
      </c>
      <c r="D157" s="16"/>
      <c r="E157" s="8"/>
      <c r="F157" s="8"/>
      <c r="H157" s="3" t="s">
        <v>49</v>
      </c>
      <c r="I157" s="3" t="str">
        <f t="shared" si="35"/>
        <v>Bonos para útiles diversos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>+O157</f>
        <v>0</v>
      </c>
      <c r="V157" s="7"/>
      <c r="W157" s="7">
        <f t="shared" si="25"/>
        <v>0</v>
      </c>
      <c r="Y157" s="7">
        <f t="shared" si="32"/>
        <v>0</v>
      </c>
      <c r="AA157" s="22" t="b">
        <f t="shared" si="24"/>
        <v>1</v>
      </c>
      <c r="AB157" s="57" t="s">
        <v>235</v>
      </c>
    </row>
    <row r="158" spans="1:28" s="40" customFormat="1" x14ac:dyDescent="0.25">
      <c r="A158" s="39"/>
      <c r="B158" s="2"/>
      <c r="C158" s="59" t="s">
        <v>236</v>
      </c>
      <c r="D158" s="43"/>
      <c r="E158" s="30"/>
      <c r="F158" s="8"/>
      <c r="I158" s="40" t="str">
        <f t="shared" si="35"/>
        <v>ajustes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17">
        <f t="shared" si="27"/>
        <v>0</v>
      </c>
      <c r="P158" s="17"/>
      <c r="Q158" s="17"/>
      <c r="S158" s="7">
        <f t="shared" si="33"/>
        <v>0</v>
      </c>
      <c r="U158" s="7"/>
      <c r="W158" s="7">
        <f t="shared" si="25"/>
        <v>0</v>
      </c>
      <c r="Y158" s="17">
        <f t="shared" si="32"/>
        <v>0</v>
      </c>
      <c r="AA158" s="22" t="b">
        <f t="shared" si="24"/>
        <v>0</v>
      </c>
      <c r="AB158" s="60"/>
    </row>
    <row r="159" spans="1:28" x14ac:dyDescent="0.25">
      <c r="A159" s="1" t="s">
        <v>159</v>
      </c>
      <c r="B159" s="61" t="s">
        <v>237</v>
      </c>
      <c r="C159" s="57" t="s">
        <v>238</v>
      </c>
      <c r="D159" s="16"/>
      <c r="E159" s="8"/>
      <c r="F159" s="8"/>
      <c r="I159" s="3" t="str">
        <f>+C159</f>
        <v>Minerales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238</v>
      </c>
    </row>
    <row r="160" spans="1:28" x14ac:dyDescent="0.25">
      <c r="A160" s="1" t="s">
        <v>159</v>
      </c>
      <c r="B160" s="61" t="s">
        <v>239</v>
      </c>
      <c r="C160" s="57" t="s">
        <v>240</v>
      </c>
      <c r="D160" s="16"/>
      <c r="E160" s="8"/>
      <c r="F160" s="8"/>
      <c r="H160" s="3" t="s">
        <v>49</v>
      </c>
      <c r="I160" s="3" t="str">
        <f>+C160</f>
        <v>Útiles de cocina y comedor</v>
      </c>
      <c r="J160" s="7">
        <f t="shared" si="35"/>
        <v>0</v>
      </c>
      <c r="M160" s="7">
        <f t="shared" si="28"/>
        <v>0</v>
      </c>
      <c r="N160" s="8">
        <f t="shared" si="36"/>
        <v>0</v>
      </c>
      <c r="O160" s="7">
        <f t="shared" si="27"/>
        <v>0</v>
      </c>
      <c r="P160" s="7"/>
      <c r="Q160" s="7"/>
      <c r="S160" s="7">
        <f t="shared" si="33"/>
        <v>0</v>
      </c>
      <c r="U160" s="7">
        <f>+O160</f>
        <v>0</v>
      </c>
      <c r="W160" s="7">
        <f t="shared" si="25"/>
        <v>0</v>
      </c>
      <c r="Y160" s="7">
        <f t="shared" si="32"/>
        <v>0</v>
      </c>
      <c r="AA160" s="22" t="b">
        <f t="shared" si="24"/>
        <v>1</v>
      </c>
      <c r="AB160" s="57" t="s">
        <v>240</v>
      </c>
    </row>
    <row r="161" spans="1:28" s="40" customFormat="1" x14ac:dyDescent="0.25">
      <c r="A161" s="39"/>
      <c r="B161" s="62"/>
      <c r="C161" s="59"/>
      <c r="D161" s="41"/>
      <c r="E161" s="30"/>
      <c r="F161" s="8"/>
      <c r="J161" s="7">
        <f t="shared" si="35"/>
        <v>0</v>
      </c>
      <c r="M161" s="7">
        <f t="shared" si="28"/>
        <v>0</v>
      </c>
      <c r="N161" s="8">
        <f t="shared" si="36"/>
        <v>0</v>
      </c>
      <c r="O161" s="17"/>
      <c r="P161" s="17"/>
      <c r="Q161" s="17"/>
      <c r="S161" s="7">
        <f t="shared" si="33"/>
        <v>0</v>
      </c>
      <c r="U161" s="7">
        <f>+O161</f>
        <v>0</v>
      </c>
      <c r="W161" s="7">
        <f t="shared" si="25"/>
        <v>0</v>
      </c>
      <c r="X161" s="7">
        <f t="shared" ref="X161:X169" si="37">N161</f>
        <v>0</v>
      </c>
      <c r="Y161" s="17"/>
      <c r="AA161" s="57"/>
      <c r="AB161" s="57"/>
    </row>
    <row r="162" spans="1:28" x14ac:dyDescent="0.25">
      <c r="A162" s="1" t="s">
        <v>107</v>
      </c>
      <c r="C162" s="3" t="s">
        <v>241</v>
      </c>
      <c r="D162" s="16"/>
      <c r="E162" s="8"/>
      <c r="F162" s="8"/>
      <c r="H162" s="3" t="s">
        <v>49</v>
      </c>
      <c r="I162" s="3" t="s">
        <v>241</v>
      </c>
      <c r="J162" s="7">
        <f t="shared" si="35"/>
        <v>0</v>
      </c>
      <c r="K162" s="7"/>
      <c r="L162" s="7"/>
      <c r="M162" s="7">
        <f t="shared" si="28"/>
        <v>0</v>
      </c>
      <c r="N162" s="8">
        <f t="shared" si="36"/>
        <v>0</v>
      </c>
      <c r="O162" s="7">
        <f>-N162</f>
        <v>0</v>
      </c>
      <c r="P162" s="7"/>
      <c r="Q162" s="7"/>
      <c r="S162" s="7">
        <f t="shared" si="33"/>
        <v>0</v>
      </c>
      <c r="U162" s="7"/>
      <c r="V162" s="7"/>
      <c r="W162" s="7">
        <f t="shared" si="25"/>
        <v>0</v>
      </c>
      <c r="X162" s="7"/>
      <c r="Y162" s="7">
        <f>SUM(T162:X162)-O162</f>
        <v>0</v>
      </c>
    </row>
    <row r="163" spans="1:28" s="40" customFormat="1" x14ac:dyDescent="0.25">
      <c r="A163" s="39"/>
      <c r="B163" s="2"/>
      <c r="C163" s="50" t="s">
        <v>242</v>
      </c>
      <c r="D163" s="41"/>
      <c r="E163" s="30"/>
      <c r="F163" s="8"/>
      <c r="J163" s="7">
        <f t="shared" si="35"/>
        <v>0</v>
      </c>
      <c r="M163" s="7">
        <f t="shared" si="28"/>
        <v>0</v>
      </c>
      <c r="N163" s="8">
        <f t="shared" si="36"/>
        <v>0</v>
      </c>
      <c r="U163" s="7">
        <f t="shared" ref="U163:U173" si="38">+O163</f>
        <v>0</v>
      </c>
      <c r="W163" s="7">
        <f t="shared" si="25"/>
        <v>0</v>
      </c>
      <c r="X163" s="7">
        <f t="shared" si="37"/>
        <v>0</v>
      </c>
    </row>
    <row r="164" spans="1:28" x14ac:dyDescent="0.25">
      <c r="A164" s="1" t="s">
        <v>243</v>
      </c>
      <c r="B164" s="54" t="s">
        <v>244</v>
      </c>
      <c r="C164" s="3" t="s">
        <v>245</v>
      </c>
      <c r="D164" s="16"/>
      <c r="E164" s="8"/>
      <c r="F164" s="8"/>
      <c r="H164" s="3" t="s">
        <v>49</v>
      </c>
      <c r="I164" s="3" t="str">
        <f t="shared" ref="I164:J179" si="39">+C164</f>
        <v>Ayudas y donaciones ocacionales a hogares y personas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W164" s="7">
        <f t="shared" si="25"/>
        <v>0</v>
      </c>
      <c r="X164" s="7">
        <f t="shared" si="37"/>
        <v>0</v>
      </c>
      <c r="Y164" s="7">
        <f t="shared" ref="Y164:Y170" si="40">SUM(T164:X164)-O164</f>
        <v>0</v>
      </c>
    </row>
    <row r="165" spans="1:28" x14ac:dyDescent="0.25">
      <c r="A165" s="1" t="s">
        <v>83</v>
      </c>
      <c r="B165" s="54" t="s">
        <v>246</v>
      </c>
      <c r="C165" s="3" t="s">
        <v>247</v>
      </c>
      <c r="D165" s="16"/>
      <c r="E165" s="8"/>
      <c r="F165" s="8"/>
      <c r="H165" s="3" t="s">
        <v>49</v>
      </c>
      <c r="I165" s="3" t="str">
        <f t="shared" si="39"/>
        <v>Becas nacionales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8" x14ac:dyDescent="0.25">
      <c r="A166" s="1" t="s">
        <v>83</v>
      </c>
      <c r="B166" s="54" t="s">
        <v>248</v>
      </c>
      <c r="C166" s="3" t="s">
        <v>249</v>
      </c>
      <c r="D166" s="16"/>
      <c r="E166" s="8"/>
      <c r="F166" s="8"/>
      <c r="I166" s="3" t="str">
        <f t="shared" si="39"/>
        <v>Becas extranjeras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>
        <f t="shared" si="38"/>
        <v>0</v>
      </c>
      <c r="V166" s="7"/>
      <c r="W166" s="7">
        <f t="shared" si="25"/>
        <v>0</v>
      </c>
      <c r="X166" s="7">
        <f t="shared" si="37"/>
        <v>0</v>
      </c>
      <c r="Y166" s="7">
        <f t="shared" si="40"/>
        <v>0</v>
      </c>
    </row>
    <row r="167" spans="1:28" x14ac:dyDescent="0.25">
      <c r="A167" s="1" t="s">
        <v>243</v>
      </c>
      <c r="B167" s="54" t="s">
        <v>250</v>
      </c>
      <c r="C167" s="3" t="s">
        <v>402</v>
      </c>
      <c r="D167" s="16"/>
      <c r="E167" s="8"/>
      <c r="F167" s="8"/>
      <c r="H167" s="3" t="s">
        <v>49</v>
      </c>
      <c r="I167" s="3" t="str">
        <f t="shared" si="39"/>
        <v xml:space="preserve">Transferencias corrientes </v>
      </c>
      <c r="J167" s="7">
        <f t="shared" si="35"/>
        <v>0</v>
      </c>
      <c r="K167" s="7"/>
      <c r="L167" s="7"/>
      <c r="M167" s="7">
        <f t="shared" si="28"/>
        <v>0</v>
      </c>
      <c r="N167" s="8">
        <f t="shared" si="36"/>
        <v>0</v>
      </c>
      <c r="O167" s="7">
        <f t="shared" si="27"/>
        <v>0</v>
      </c>
      <c r="P167" s="7"/>
      <c r="Q167" s="7"/>
      <c r="S167" s="7">
        <f t="shared" si="33"/>
        <v>0</v>
      </c>
      <c r="U167" s="7"/>
      <c r="W167" s="7"/>
      <c r="X167" s="7"/>
      <c r="Y167" s="7"/>
    </row>
    <row r="168" spans="1:28" x14ac:dyDescent="0.25">
      <c r="A168" s="1" t="s">
        <v>251</v>
      </c>
      <c r="B168" s="63"/>
      <c r="C168" s="64" t="s">
        <v>252</v>
      </c>
      <c r="D168" s="16">
        <v>1477404.25</v>
      </c>
      <c r="E168" s="8"/>
      <c r="F168" s="8"/>
      <c r="I168" s="3" t="str">
        <f t="shared" si="39"/>
        <v>Gasto de depreciación</v>
      </c>
      <c r="J168" s="7">
        <f t="shared" si="39"/>
        <v>1477404.25</v>
      </c>
      <c r="K168" s="36"/>
      <c r="L168" s="7"/>
      <c r="M168" s="7">
        <f t="shared" si="28"/>
        <v>0</v>
      </c>
      <c r="N168" s="8"/>
      <c r="O168" s="7"/>
      <c r="P168" s="7"/>
      <c r="Q168" s="7"/>
      <c r="S168" s="7"/>
      <c r="U168" s="7"/>
      <c r="W168" s="7"/>
      <c r="X168" s="7"/>
      <c r="Y168" s="7"/>
    </row>
    <row r="169" spans="1:28" x14ac:dyDescent="0.25">
      <c r="A169" s="1" t="s">
        <v>251</v>
      </c>
      <c r="B169" s="63"/>
      <c r="C169" s="64" t="s">
        <v>253</v>
      </c>
      <c r="D169" s="65"/>
      <c r="E169" s="8"/>
      <c r="F169" s="8"/>
      <c r="I169" s="3" t="str">
        <f t="shared" si="39"/>
        <v>Gasto de amortización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>
        <f t="shared" si="25"/>
        <v>0</v>
      </c>
      <c r="X169" s="7">
        <f t="shared" si="37"/>
        <v>0</v>
      </c>
      <c r="Y169" s="7">
        <f t="shared" si="40"/>
        <v>0</v>
      </c>
    </row>
    <row r="170" spans="1:28" x14ac:dyDescent="0.25">
      <c r="A170" s="1" t="s">
        <v>107</v>
      </c>
      <c r="C170" s="3" t="s">
        <v>254</v>
      </c>
      <c r="D170" s="7"/>
      <c r="E170" s="8">
        <f>SUM(E41:E168)</f>
        <v>-1055000</v>
      </c>
      <c r="F170" s="8"/>
      <c r="I170" s="3" t="str">
        <f t="shared" si="39"/>
        <v>Pérdida por retiro</v>
      </c>
      <c r="J170" s="7">
        <f t="shared" si="39"/>
        <v>0</v>
      </c>
      <c r="K170" s="7"/>
      <c r="L170" s="7"/>
      <c r="M170" s="7">
        <f t="shared" si="28"/>
        <v>0</v>
      </c>
      <c r="N170" s="8">
        <f>+J170+K170-L170-M170</f>
        <v>0</v>
      </c>
      <c r="O170" s="7">
        <f t="shared" si="27"/>
        <v>0</v>
      </c>
      <c r="P170" s="7"/>
      <c r="Q170" s="7"/>
      <c r="S170" s="7">
        <f>SUM(N170:R170)</f>
        <v>0</v>
      </c>
      <c r="U170" s="7">
        <f t="shared" si="38"/>
        <v>0</v>
      </c>
      <c r="W170" s="7"/>
      <c r="Y170" s="7">
        <f t="shared" si="40"/>
        <v>0</v>
      </c>
    </row>
    <row r="171" spans="1:28" x14ac:dyDescent="0.25">
      <c r="C171" s="22"/>
      <c r="D171" s="7"/>
      <c r="E171" s="8"/>
      <c r="F171" s="8">
        <f>+D167+D112+D92+D63+D49</f>
        <v>5000000</v>
      </c>
      <c r="J171" s="7">
        <f t="shared" si="39"/>
        <v>0</v>
      </c>
      <c r="K171" s="7"/>
      <c r="L171" s="7"/>
      <c r="M171" s="7"/>
      <c r="N171" s="8"/>
      <c r="O171" s="7"/>
      <c r="P171" s="7"/>
      <c r="Q171" s="7"/>
      <c r="S171" s="7"/>
      <c r="U171" s="7">
        <f t="shared" si="38"/>
        <v>0</v>
      </c>
      <c r="W171" s="7"/>
      <c r="Y171" s="7"/>
    </row>
    <row r="172" spans="1:28" s="40" customFormat="1" x14ac:dyDescent="0.25">
      <c r="A172" s="39"/>
      <c r="B172" s="2"/>
      <c r="C172" s="50" t="s">
        <v>255</v>
      </c>
      <c r="D172" s="65"/>
      <c r="E172" s="8"/>
      <c r="F172" s="8"/>
      <c r="G172" s="66"/>
      <c r="I172" s="40" t="s">
        <v>256</v>
      </c>
      <c r="J172" s="7">
        <f t="shared" si="39"/>
        <v>0</v>
      </c>
      <c r="K172" s="17">
        <f>+L35</f>
        <v>0</v>
      </c>
      <c r="L172" s="17"/>
      <c r="M172" s="17"/>
      <c r="N172" s="30">
        <f>J172+K172+L172-M172</f>
        <v>0</v>
      </c>
      <c r="O172" s="17">
        <f t="shared" si="27"/>
        <v>0</v>
      </c>
      <c r="P172" s="17"/>
      <c r="Q172" s="17"/>
      <c r="S172" s="17">
        <f>SUM(N172:R172)</f>
        <v>0</v>
      </c>
      <c r="U172" s="7"/>
      <c r="W172" s="7"/>
      <c r="Y172" s="17">
        <f>SUM(T172:X172)-O172</f>
        <v>0</v>
      </c>
    </row>
    <row r="173" spans="1:28" x14ac:dyDescent="0.25">
      <c r="D173" s="7"/>
      <c r="E173" s="8"/>
      <c r="F173" s="8"/>
      <c r="J173" s="7">
        <f t="shared" si="39"/>
        <v>0</v>
      </c>
      <c r="M173" s="7"/>
      <c r="U173" s="7">
        <f t="shared" si="38"/>
        <v>0</v>
      </c>
      <c r="W173" s="7">
        <f t="shared" si="25"/>
        <v>0</v>
      </c>
      <c r="Y173" s="7">
        <f>SUM(T173:X173)-O173</f>
        <v>0</v>
      </c>
    </row>
    <row r="174" spans="1:28" x14ac:dyDescent="0.25">
      <c r="D174" s="7"/>
      <c r="E174" s="8"/>
      <c r="F174" s="8"/>
      <c r="J174" s="7">
        <f t="shared" si="39"/>
        <v>0</v>
      </c>
      <c r="M174" s="7"/>
      <c r="W174" s="7">
        <f t="shared" si="25"/>
        <v>0</v>
      </c>
    </row>
    <row r="175" spans="1:28" x14ac:dyDescent="0.25">
      <c r="C175" s="3" t="s">
        <v>257</v>
      </c>
      <c r="D175" s="7"/>
      <c r="E175" s="8"/>
      <c r="F175" s="8"/>
      <c r="J175" s="7" t="e">
        <f>+#REF!</f>
        <v>#REF!</v>
      </c>
      <c r="M175" s="7"/>
      <c r="W175" s="7">
        <f t="shared" ref="W175:W188" si="41">+O175</f>
        <v>0</v>
      </c>
    </row>
    <row r="176" spans="1:28" x14ac:dyDescent="0.25">
      <c r="C176" s="67" t="s">
        <v>0</v>
      </c>
      <c r="D176" s="7"/>
      <c r="E176" s="8">
        <f t="shared" ref="E176" si="42">+SUBTOTAL(9,E12:E169)</f>
        <v>-1055000</v>
      </c>
      <c r="F176" s="8">
        <f>+SUBTOTAL(9,F12:F169)</f>
        <v>172396636.71999991</v>
      </c>
      <c r="J176" s="7" t="e">
        <f>+#REF!</f>
        <v>#REF!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 t="shared" si="39"/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>
        <f>+D181</f>
        <v>0</v>
      </c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  <c r="W188" s="7">
        <f t="shared" si="41"/>
        <v>0</v>
      </c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8"/>
      <c r="F207" s="8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  <row r="209" spans="3:13" x14ac:dyDescent="0.25">
      <c r="C209" s="67"/>
      <c r="D209" s="7"/>
      <c r="E209" s="7"/>
      <c r="F209" s="7"/>
      <c r="J209" s="7"/>
      <c r="M209" s="7"/>
    </row>
  </sheetData>
  <autoFilter ref="A11:Y172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tabSelected="1" view="pageBreakPreview" topLeftCell="C1" zoomScaleSheetLayoutView="100" workbookViewId="0">
      <selection activeCell="D14" sqref="D14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'[5]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411</v>
      </c>
      <c r="D2" s="189"/>
      <c r="E2" s="189"/>
      <c r="F2" s="189"/>
      <c r="G2" s="189"/>
      <c r="H2" s="71"/>
    </row>
    <row r="3" spans="1:13" ht="15" customHeight="1" x14ac:dyDescent="0.25">
      <c r="C3" s="189" t="str">
        <f>'[5]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Comprobación'!D41</f>
        <v>1175000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Comprobación'!D42</f>
        <v>32361358.850000001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hidden="1" x14ac:dyDescent="0.25">
      <c r="C10" s="73" t="s">
        <v>392</v>
      </c>
      <c r="D10" s="73"/>
      <c r="E10" s="73"/>
      <c r="F10" s="75">
        <f>-'BC Balance Comprobación'!D44</f>
        <v>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Comprobación'!D43</f>
        <v>15513200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49049558.850000001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0">
        <f>+'BC Balance Comprobación'!D49+'BC Balance Comprobación'!D50+'BC Balance Comprobación'!D51+'BC Balance Comprobación'!D57+'BC Balance Comprobación'!D58+'BC Balance Comprobación'!D63+'BC Balance Comprobación'!D64+'BC Balance Comprobación'!D65</f>
        <v>0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0">
        <f>+'BC Balance Comprobación'!D68</f>
        <v>22180071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0">
        <f>+'BC Balance Comprobación'!D112+'BC Balance Comprobación'!D113+'BC Balance Comprobación'!D114+'BC Balance Comprobación'!D115+'BC Balance Comprobación'!D116+'BC Balance Comprobación'!D117+'BC Balance Comprobación'!D119+'BC Balance Comprobación'!D120+'BC Balance Comprobación'!D121+'BC Balance Comprobación'!D122+'BC Balance Comprobación'!D124+'BC Balance Comprobación'!D125+'BC Balance Comprobación'!D126+'BC Balance Comprobación'!D127+'BC Balance Comprobación'!D128+'BC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Comprobación'!D138+'BC Balance Comprobación'!D140+'BC Balance Comprobación'!D141+'BC Balance Comprobación'!D142+'BC Balance Comprobación'!D143+'BC Balance Comprobación'!D145+'BC Balance Comprobación'!D146+'BC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Comprobación'!D159+'BC Balance Comprobación'!D160</f>
        <v>5000000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0">
        <f>+'BC Balance Comprobación'!D167</f>
        <v>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Comprobación'!D168</f>
        <v>1477404.25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28657475.25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20392083.600000001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="75" zoomScaleSheetLayoutView="75" workbookViewId="0">
      <selection activeCell="A27" sqref="A27:I27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411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1">
        <v>51695326</v>
      </c>
      <c r="E8" s="178">
        <v>0</v>
      </c>
      <c r="F8" s="178">
        <v>0</v>
      </c>
      <c r="G8" s="181">
        <v>27301926.219999999</v>
      </c>
      <c r="H8" s="181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82">
        <v>781358.22</v>
      </c>
      <c r="H11" s="182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82">
        <v>-11484229.439999999</v>
      </c>
      <c r="H12" s="182">
        <v>-11484229.439999999</v>
      </c>
      <c r="I12" s="78"/>
    </row>
    <row r="13" spans="1:13" ht="18.75" x14ac:dyDescent="0.3">
      <c r="B13" s="93"/>
      <c r="C13" s="164" t="s">
        <v>407</v>
      </c>
      <c r="D13" s="181">
        <f>SUM(D8:D12)</f>
        <v>51695326</v>
      </c>
      <c r="E13" s="178">
        <f>SUM(E8:E12)</f>
        <v>0</v>
      </c>
      <c r="F13" s="178">
        <f>SUM(F8:F12)</f>
        <v>0</v>
      </c>
      <c r="G13" s="181">
        <f>SUM(G8:G12)</f>
        <v>16599054.999999998</v>
      </c>
      <c r="H13" s="181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82">
        <v>27966261</v>
      </c>
      <c r="H18" s="182">
        <v>27966261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82">
        <f>+' ERF-Rendimiento Financiero'!F29</f>
        <v>20392083.600000001</v>
      </c>
      <c r="H19" s="182">
        <f>SUM(D19,E19,F19,G19)</f>
        <v>20392083.600000001</v>
      </c>
      <c r="I19" s="154"/>
      <c r="J19" s="117"/>
      <c r="K19" s="163"/>
      <c r="L19" s="163"/>
    </row>
    <row r="20" spans="1:14" ht="18.75" x14ac:dyDescent="0.25">
      <c r="B20" s="95"/>
      <c r="C20" s="164" t="s">
        <v>410</v>
      </c>
      <c r="D20" s="181">
        <f>D14+D18</f>
        <v>51695326</v>
      </c>
      <c r="E20" s="179">
        <f>SUM(E19,E13)</f>
        <v>0</v>
      </c>
      <c r="F20" s="179">
        <f>SUM(F19,F13)</f>
        <v>0</v>
      </c>
      <c r="G20" s="181">
        <f>G13+G15+G16+G17+G18+G19</f>
        <v>64957399.600000001</v>
      </c>
      <c r="H20" s="181">
        <f>H13+H15+H16+H17+H18+H19</f>
        <v>116652725.59999999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view="pageBreakPreview" zoomScale="60" workbookViewId="0">
      <selection activeCell="R25" sqref="R25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'[6]Flujo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412</v>
      </c>
      <c r="B2" s="196"/>
      <c r="C2" s="198"/>
      <c r="D2" s="196"/>
      <c r="E2" s="196"/>
      <c r="F2" s="93"/>
    </row>
    <row r="3" spans="1:17" x14ac:dyDescent="0.3">
      <c r="A3" s="198" t="str">
        <f>'[6]Flujo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1175000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1175000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47874558.850000001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47874558.850000001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128538640.50999999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-111108103.93000001</v>
      </c>
    </row>
    <row r="14" spans="1:17" customFormat="1" x14ac:dyDescent="0.3">
      <c r="A14" s="111" t="s">
        <v>294</v>
      </c>
      <c r="B14" s="120"/>
      <c r="C14" s="109">
        <f>-'BC Balance Comprobación'!D44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-13194627.040000007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Comprobación'!D167</f>
        <v>0</v>
      </c>
      <c r="D16" s="106"/>
      <c r="E16" s="106">
        <v>0</v>
      </c>
      <c r="F16" s="107"/>
      <c r="G16" s="108"/>
      <c r="H16" s="106">
        <f t="shared" ref="H16:H23" si="1">+C16+E16</f>
        <v>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Comprobación'!D49-'BC Balance Comprobación'!D50-'BC Balance Comprobación'!D51-'BC Balance Comprobación'!D57-'BC Balance Comprobación'!D58</f>
        <v>0</v>
      </c>
      <c r="D17" s="123"/>
      <c r="E17" s="96">
        <v>-83368429</v>
      </c>
      <c r="F17" s="93"/>
      <c r="G17" s="108">
        <v>-5376484.4800000004</v>
      </c>
      <c r="H17" s="78">
        <f t="shared" si="1"/>
        <v>-83368429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-41382958.060000002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Comprobación'!D63-'BC Balance Comprobación'!D64-'BC Balance Comprobación'!D65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Comprobación'!D68-'BC Balance Comprobación'!D112-14019795</f>
        <v>-41199866</v>
      </c>
      <c r="D20" s="123"/>
      <c r="E20" s="96">
        <v>-60758429</v>
      </c>
      <c r="F20" s="93"/>
      <c r="G20" s="106">
        <v>-65427</v>
      </c>
      <c r="H20" s="78">
        <f t="shared" si="1"/>
        <v>-101958295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-65266752.480000004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7849692.8500000015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-153776977.15000001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f>-'[4]Plantilla Ejecución  '!$B$50</f>
        <v>0</v>
      </c>
      <c r="D36" s="123"/>
      <c r="E36" s="96">
        <v>-12714328.18</v>
      </c>
      <c r="F36" s="93"/>
      <c r="H36" s="78">
        <f t="shared" ref="H36:H42" si="3">+C36+E36</f>
        <v>-12714328.18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0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7849692.8500000015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-164821911.33000001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42085436</v>
      </c>
      <c r="D62" s="150"/>
      <c r="E62" s="141">
        <v>5853191.9199999999</v>
      </c>
      <c r="F62" s="93"/>
      <c r="G62" s="141">
        <v>20979065.719999999</v>
      </c>
      <c r="H62" s="78">
        <f>+C62+E62</f>
        <v>47938627.920000002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49935128.850000001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-116883283.41000003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  <c r="P64" s="117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2025-01-24T13:07:59Z</cp:lastPrinted>
  <dcterms:created xsi:type="dcterms:W3CDTF">2022-05-09T16:29:53Z</dcterms:created>
  <dcterms:modified xsi:type="dcterms:W3CDTF">2025-01-24T15:47:28Z</dcterms:modified>
</cp:coreProperties>
</file>